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kyoslf/Downloads/"/>
    </mc:Choice>
  </mc:AlternateContent>
  <xr:revisionPtr revIDLastSave="0" documentId="8_{79038ACA-3011-A446-BAD7-87E5A53BBED2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ВПР и Поиск решения" sheetId="6" r:id="rId1"/>
  </sheets>
  <definedNames>
    <definedName name="solver_cvg" localSheetId="0" hidden="1">0.0001</definedName>
    <definedName name="solver_drv" localSheetId="0" hidden="1">1</definedName>
    <definedName name="solver_est" localSheetId="0" hidden="1">2</definedName>
    <definedName name="solver_itr" localSheetId="0" hidden="1">100</definedName>
    <definedName name="solver_lhs1" localSheetId="0" hidden="1">'ВПР и Поиск решения'!$O$165:$O$176</definedName>
    <definedName name="solver_lhs10" localSheetId="0" hidden="1">'ВПР и Поиск решения'!$AM$199:$AM$209</definedName>
    <definedName name="solver_lhs11" localSheetId="0" hidden="1">'ВПР и Поиск решения'!$AA$167</definedName>
    <definedName name="solver_lhs12" localSheetId="0" hidden="1">'ВПР и Поиск решения'!$AM$199</definedName>
    <definedName name="solver_lhs13" localSheetId="0" hidden="1">'ВПР и Поиск решения'!$O$165</definedName>
    <definedName name="solver_lhs2" localSheetId="0" hidden="1">'ВПР и Поиск решения'!$AM$199:$AM$209</definedName>
    <definedName name="solver_lhs3" localSheetId="0" hidden="1">'ВПР и Поиск решения'!$AA$167:$AA$177</definedName>
    <definedName name="solver_lhs4" localSheetId="0" hidden="1">'ВПР и Поиск решения'!$AA$167</definedName>
    <definedName name="solver_lhs5" localSheetId="0" hidden="1">'ВПР и Поиск решения'!$AA$197:$AA$199</definedName>
    <definedName name="solver_lhs6" localSheetId="0" hidden="1">'ВПР и Поиск решения'!$AM$199</definedName>
    <definedName name="solver_lhs7" localSheetId="0" hidden="1">'ВПР и Поиск решения'!$AA$197</definedName>
    <definedName name="solver_lhs8" localSheetId="0" hidden="1">'ВПР и Поиск решения'!$O$165</definedName>
    <definedName name="solver_lhs9" localSheetId="0" hidden="1">'ВПР и Поиск решения'!$AA$167:$AA$177</definedName>
    <definedName name="solver_lin" localSheetId="0" hidden="1">2</definedName>
    <definedName name="solver_neg" localSheetId="0" hidden="1">2</definedName>
    <definedName name="solver_num" localSheetId="0" hidden="1">8</definedName>
    <definedName name="solver_nwt" localSheetId="0" hidden="1">2</definedName>
    <definedName name="solver_opt" localSheetId="0" hidden="1">'ВПР и Поиск решения'!$D$191</definedName>
    <definedName name="solver_pre" localSheetId="0" hidden="1">0.000001</definedName>
    <definedName name="solver_rel1" localSheetId="0" hidden="1">1</definedName>
    <definedName name="solver_rel10" localSheetId="0" hidden="1">1</definedName>
    <definedName name="solver_rel11" localSheetId="0" hidden="1">2</definedName>
    <definedName name="solver_rel12" localSheetId="0" hidden="1">2</definedName>
    <definedName name="solver_rel13" localSheetId="0" hidden="1">2</definedName>
    <definedName name="solver_rel2" localSheetId="0" hidden="1">1</definedName>
    <definedName name="solver_rel3" localSheetId="0" hidden="1">1</definedName>
    <definedName name="solver_rel4" localSheetId="0" hidden="1">2</definedName>
    <definedName name="solver_rel5" localSheetId="0" hidden="1">1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1</definedName>
    <definedName name="solver_rhs1" localSheetId="0" hidden="1">'ВПР и Поиск решения'!$P$165:$P$176</definedName>
    <definedName name="solver_rhs10" localSheetId="0" hidden="1">'ВПР и Поиск решения'!$AN$199:$AN$265</definedName>
    <definedName name="solver_rhs11" localSheetId="0" hidden="1">'ВПР и Поиск решения'!$Z$167</definedName>
    <definedName name="solver_rhs12" localSheetId="0" hidden="1">'ВПР и Поиск решения'!$AL$199</definedName>
    <definedName name="solver_rhs13" localSheetId="0" hidden="1">'ВПР и Поиск решения'!$N$165</definedName>
    <definedName name="solver_rhs2" localSheetId="0" hidden="1">'ВПР и Поиск решения'!$AN$199:$AN$265</definedName>
    <definedName name="solver_rhs3" localSheetId="0" hidden="1">'ВПР и Поиск решения'!$AB$167:$AB$177</definedName>
    <definedName name="solver_rhs4" localSheetId="0" hidden="1">'ВПР и Поиск решения'!$Z$167</definedName>
    <definedName name="solver_rhs5" localSheetId="0" hidden="1">'ВПР и Поиск решения'!$AB$197:$AB$199</definedName>
    <definedName name="solver_rhs6" localSheetId="0" hidden="1">'ВПР и Поиск решения'!$AL$199</definedName>
    <definedName name="solver_rhs7" localSheetId="0" hidden="1">'ВПР и Поиск решения'!$Z$197</definedName>
    <definedName name="solver_rhs8" localSheetId="0" hidden="1">'ВПР и Поиск решения'!$N$165</definedName>
    <definedName name="solver_rhs9" localSheetId="0" hidden="1">'ВПР и Поиск решения'!$AB$167:$AB$177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8" i="6" l="1"/>
  <c r="J238" i="6"/>
  <c r="G181" i="6"/>
  <c r="G238" i="6"/>
  <c r="Y246" i="6"/>
  <c r="Y247" i="6"/>
  <c r="Y248" i="6"/>
  <c r="Y249" i="6"/>
  <c r="Y250" i="6"/>
  <c r="Y251" i="6"/>
  <c r="Y252" i="6"/>
  <c r="Y253" i="6"/>
  <c r="K230" i="6" s="1"/>
  <c r="Y254" i="6"/>
  <c r="Y255" i="6"/>
  <c r="K232" i="6" s="1"/>
  <c r="Y256" i="6"/>
  <c r="Y257" i="6"/>
  <c r="K234" i="6" s="1"/>
  <c r="Y258" i="6"/>
  <c r="Y245" i="6"/>
  <c r="K222" i="6" s="1"/>
  <c r="Y224" i="6"/>
  <c r="Y225" i="6"/>
  <c r="Y226" i="6"/>
  <c r="Y227" i="6"/>
  <c r="Y228" i="6"/>
  <c r="Y229" i="6"/>
  <c r="Y230" i="6"/>
  <c r="Y231" i="6"/>
  <c r="J230" i="6" s="1"/>
  <c r="Y232" i="6"/>
  <c r="Y233" i="6"/>
  <c r="J232" i="6" s="1"/>
  <c r="Y234" i="6"/>
  <c r="Y235" i="6"/>
  <c r="J234" i="6" s="1"/>
  <c r="Y236" i="6"/>
  <c r="Y223" i="6"/>
  <c r="AN199" i="6"/>
  <c r="AB255" i="6"/>
  <c r="AB254" i="6"/>
  <c r="AB253" i="6"/>
  <c r="AB252" i="6"/>
  <c r="AB251" i="6"/>
  <c r="AB250" i="6"/>
  <c r="AB249" i="6"/>
  <c r="AB248" i="6"/>
  <c r="AB247" i="6"/>
  <c r="AB246" i="6"/>
  <c r="AB245" i="6"/>
  <c r="P247" i="6"/>
  <c r="P246" i="6"/>
  <c r="P245" i="6"/>
  <c r="DP246" i="6"/>
  <c r="DO246" i="6"/>
  <c r="DN246" i="6"/>
  <c r="DP245" i="6"/>
  <c r="DO245" i="6"/>
  <c r="DN245" i="6"/>
  <c r="DP244" i="6"/>
  <c r="DO244" i="6"/>
  <c r="DN244" i="6"/>
  <c r="DP243" i="6"/>
  <c r="DO243" i="6"/>
  <c r="DN243" i="6"/>
  <c r="DP242" i="6"/>
  <c r="DO242" i="6"/>
  <c r="DN242" i="6"/>
  <c r="DP241" i="6"/>
  <c r="DO241" i="6"/>
  <c r="DN241" i="6"/>
  <c r="DN240" i="6"/>
  <c r="DM240" i="6"/>
  <c r="DL240" i="6"/>
  <c r="DN239" i="6"/>
  <c r="DM239" i="6"/>
  <c r="DL239" i="6"/>
  <c r="DN238" i="6"/>
  <c r="DM238" i="6"/>
  <c r="DL238" i="6"/>
  <c r="I238" i="6"/>
  <c r="DN237" i="6"/>
  <c r="DM237" i="6"/>
  <c r="DL237" i="6"/>
  <c r="J235" i="6"/>
  <c r="DN236" i="6"/>
  <c r="DM236" i="6"/>
  <c r="DL236" i="6"/>
  <c r="DP235" i="6"/>
  <c r="DO235" i="6"/>
  <c r="DN235" i="6"/>
  <c r="J233" i="6"/>
  <c r="K235" i="6"/>
  <c r="DP234" i="6"/>
  <c r="DO234" i="6"/>
  <c r="DN234" i="6"/>
  <c r="AB233" i="6"/>
  <c r="DP233" i="6"/>
  <c r="DO233" i="6"/>
  <c r="DN233" i="6"/>
  <c r="AB232" i="6"/>
  <c r="P233" i="6"/>
  <c r="K233" i="6"/>
  <c r="DP232" i="6"/>
  <c r="DO232" i="6"/>
  <c r="DN232" i="6"/>
  <c r="AB231" i="6"/>
  <c r="P232" i="6"/>
  <c r="DP231" i="6"/>
  <c r="DO231" i="6"/>
  <c r="DN231" i="6"/>
  <c r="AB230" i="6"/>
  <c r="J229" i="6"/>
  <c r="P231" i="6"/>
  <c r="K231" i="6"/>
  <c r="J231" i="6"/>
  <c r="DP230" i="6"/>
  <c r="DO230" i="6"/>
  <c r="DN230" i="6"/>
  <c r="AB229" i="6"/>
  <c r="P230" i="6"/>
  <c r="DP229" i="6"/>
  <c r="DO229" i="6"/>
  <c r="DN229" i="6"/>
  <c r="AB228" i="6"/>
  <c r="P229" i="6"/>
  <c r="K229" i="6"/>
  <c r="DP228" i="6"/>
  <c r="DO228" i="6"/>
  <c r="DN228" i="6"/>
  <c r="AB227" i="6"/>
  <c r="J226" i="6"/>
  <c r="P228" i="6"/>
  <c r="K228" i="6"/>
  <c r="J228" i="6"/>
  <c r="DP227" i="6"/>
  <c r="DO227" i="6"/>
  <c r="DN227" i="6"/>
  <c r="AB226" i="6"/>
  <c r="J225" i="6"/>
  <c r="P227" i="6"/>
  <c r="K227" i="6"/>
  <c r="J227" i="6"/>
  <c r="DP226" i="6"/>
  <c r="DO226" i="6"/>
  <c r="DN226" i="6"/>
  <c r="AB225" i="6"/>
  <c r="P226" i="6"/>
  <c r="K226" i="6"/>
  <c r="DP225" i="6"/>
  <c r="DO225" i="6"/>
  <c r="DN225" i="6"/>
  <c r="AB224" i="6"/>
  <c r="J223" i="6"/>
  <c r="P225" i="6"/>
  <c r="K225" i="6"/>
  <c r="DP224" i="6"/>
  <c r="DO224" i="6"/>
  <c r="DN224" i="6"/>
  <c r="AB223" i="6"/>
  <c r="J222" i="6"/>
  <c r="P224" i="6"/>
  <c r="K224" i="6"/>
  <c r="J224" i="6"/>
  <c r="P223" i="6"/>
  <c r="K223" i="6"/>
  <c r="P222" i="6"/>
  <c r="K181" i="6"/>
  <c r="J181" i="6"/>
  <c r="J175" i="6"/>
  <c r="AB177" i="6"/>
  <c r="Y168" i="6"/>
  <c r="J166" i="6" s="1"/>
  <c r="Y169" i="6"/>
  <c r="J167" i="6" s="1"/>
  <c r="Y170" i="6"/>
  <c r="J168" i="6" s="1"/>
  <c r="Y171" i="6"/>
  <c r="J169" i="6" s="1"/>
  <c r="Y172" i="6"/>
  <c r="J170" i="6" s="1"/>
  <c r="Y173" i="6"/>
  <c r="J171" i="6" s="1"/>
  <c r="Y174" i="6"/>
  <c r="J172" i="6" s="1"/>
  <c r="Y175" i="6"/>
  <c r="J173" i="6" s="1"/>
  <c r="Y176" i="6"/>
  <c r="J174" i="6" s="1"/>
  <c r="Y177" i="6"/>
  <c r="Y178" i="6"/>
  <c r="J176" i="6" s="1"/>
  <c r="Y179" i="6"/>
  <c r="J177" i="6" s="1"/>
  <c r="Y180" i="6"/>
  <c r="J178" i="6" s="1"/>
  <c r="AB176" i="6"/>
  <c r="AN207" i="6"/>
  <c r="AN208" i="6"/>
  <c r="AN209" i="6"/>
  <c r="AK200" i="6"/>
  <c r="K166" i="6" s="1"/>
  <c r="AK201" i="6"/>
  <c r="K167" i="6" s="1"/>
  <c r="AK202" i="6"/>
  <c r="K168" i="6" s="1"/>
  <c r="AK203" i="6"/>
  <c r="K169" i="6" s="1"/>
  <c r="AK204" i="6"/>
  <c r="K170" i="6" s="1"/>
  <c r="AK205" i="6"/>
  <c r="K171" i="6" s="1"/>
  <c r="AK206" i="6"/>
  <c r="K172" i="6" s="1"/>
  <c r="AK207" i="6"/>
  <c r="K173" i="6" s="1"/>
  <c r="AK208" i="6"/>
  <c r="K174" i="6" s="1"/>
  <c r="AK209" i="6"/>
  <c r="K175" i="6" s="1"/>
  <c r="AK210" i="6"/>
  <c r="K176" i="6" s="1"/>
  <c r="AK211" i="6"/>
  <c r="K177" i="6" s="1"/>
  <c r="AK212" i="6"/>
  <c r="K178" i="6" s="1"/>
  <c r="AK199" i="6"/>
  <c r="K165" i="6" s="1"/>
  <c r="P176" i="6"/>
  <c r="K128" i="6"/>
  <c r="J128" i="6"/>
  <c r="G128" i="6"/>
  <c r="AT142" i="6"/>
  <c r="AT143" i="6"/>
  <c r="AT144" i="6"/>
  <c r="AQ135" i="6"/>
  <c r="K113" i="6" s="1"/>
  <c r="AQ136" i="6"/>
  <c r="K114" i="6" s="1"/>
  <c r="AQ137" i="6"/>
  <c r="K115" i="6" s="1"/>
  <c r="AQ138" i="6"/>
  <c r="K116" i="6" s="1"/>
  <c r="AQ139" i="6"/>
  <c r="K117" i="6" s="1"/>
  <c r="AQ140" i="6"/>
  <c r="K118" i="6" s="1"/>
  <c r="AQ141" i="6"/>
  <c r="K119" i="6" s="1"/>
  <c r="AQ142" i="6"/>
  <c r="K120" i="6" s="1"/>
  <c r="AQ143" i="6"/>
  <c r="K121" i="6" s="1"/>
  <c r="AQ144" i="6"/>
  <c r="K122" i="6" s="1"/>
  <c r="AQ145" i="6"/>
  <c r="K123" i="6" s="1"/>
  <c r="AQ146" i="6"/>
  <c r="K124" i="6" s="1"/>
  <c r="AQ147" i="6"/>
  <c r="K125" i="6" s="1"/>
  <c r="AQ134" i="6"/>
  <c r="K112" i="6" s="1"/>
  <c r="S123" i="6"/>
  <c r="AN206" i="6"/>
  <c r="AN205" i="6"/>
  <c r="AN204" i="6"/>
  <c r="AN203" i="6"/>
  <c r="AN202" i="6"/>
  <c r="AN201" i="6"/>
  <c r="AN200" i="6"/>
  <c r="AB199" i="6"/>
  <c r="AB198" i="6"/>
  <c r="AB197" i="6"/>
  <c r="DP189" i="6"/>
  <c r="DO189" i="6"/>
  <c r="DN189" i="6"/>
  <c r="DP188" i="6"/>
  <c r="DO188" i="6"/>
  <c r="DN188" i="6"/>
  <c r="DP187" i="6"/>
  <c r="DO187" i="6"/>
  <c r="DN187" i="6"/>
  <c r="DP186" i="6"/>
  <c r="DO186" i="6"/>
  <c r="DN186" i="6"/>
  <c r="DP185" i="6"/>
  <c r="DO185" i="6"/>
  <c r="DN185" i="6"/>
  <c r="DP184" i="6"/>
  <c r="DO184" i="6"/>
  <c r="DN184" i="6"/>
  <c r="DN183" i="6"/>
  <c r="DM183" i="6"/>
  <c r="DL183" i="6"/>
  <c r="DN182" i="6"/>
  <c r="DM182" i="6"/>
  <c r="DL182" i="6"/>
  <c r="DN181" i="6"/>
  <c r="DM181" i="6"/>
  <c r="DL181" i="6"/>
  <c r="I181" i="6"/>
  <c r="DN180" i="6"/>
  <c r="DM180" i="6"/>
  <c r="DL180" i="6"/>
  <c r="DN179" i="6"/>
  <c r="DM179" i="6"/>
  <c r="DL179" i="6"/>
  <c r="DP178" i="6"/>
  <c r="DO178" i="6"/>
  <c r="DN178" i="6"/>
  <c r="A178" i="6"/>
  <c r="A235" i="6" s="1"/>
  <c r="DP177" i="6"/>
  <c r="DO177" i="6"/>
  <c r="DN177" i="6"/>
  <c r="A177" i="6"/>
  <c r="A234" i="6" s="1"/>
  <c r="DP176" i="6"/>
  <c r="DO176" i="6"/>
  <c r="DN176" i="6"/>
  <c r="A176" i="6"/>
  <c r="A233" i="6" s="1"/>
  <c r="DP175" i="6"/>
  <c r="DO175" i="6"/>
  <c r="DN175" i="6"/>
  <c r="P175" i="6"/>
  <c r="A175" i="6"/>
  <c r="A232" i="6" s="1"/>
  <c r="DP174" i="6"/>
  <c r="DO174" i="6"/>
  <c r="DN174" i="6"/>
  <c r="AB175" i="6"/>
  <c r="P174" i="6"/>
  <c r="A174" i="6"/>
  <c r="A231" i="6" s="1"/>
  <c r="DP173" i="6"/>
  <c r="DO173" i="6"/>
  <c r="DN173" i="6"/>
  <c r="AB174" i="6"/>
  <c r="P173" i="6"/>
  <c r="A173" i="6"/>
  <c r="A230" i="6" s="1"/>
  <c r="DP172" i="6"/>
  <c r="DO172" i="6"/>
  <c r="DN172" i="6"/>
  <c r="AB173" i="6"/>
  <c r="P172" i="6"/>
  <c r="A172" i="6"/>
  <c r="A229" i="6" s="1"/>
  <c r="DP171" i="6"/>
  <c r="DO171" i="6"/>
  <c r="DN171" i="6"/>
  <c r="AB172" i="6"/>
  <c r="P171" i="6"/>
  <c r="A171" i="6"/>
  <c r="A228" i="6" s="1"/>
  <c r="DP170" i="6"/>
  <c r="DO170" i="6"/>
  <c r="DN170" i="6"/>
  <c r="AB171" i="6"/>
  <c r="P170" i="6"/>
  <c r="A170" i="6"/>
  <c r="A227" i="6" s="1"/>
  <c r="DP169" i="6"/>
  <c r="DO169" i="6"/>
  <c r="DN169" i="6"/>
  <c r="AB170" i="6"/>
  <c r="P169" i="6"/>
  <c r="A169" i="6"/>
  <c r="A226" i="6" s="1"/>
  <c r="DP168" i="6"/>
  <c r="DO168" i="6"/>
  <c r="DN168" i="6"/>
  <c r="AB169" i="6"/>
  <c r="P168" i="6"/>
  <c r="A168" i="6"/>
  <c r="A225" i="6" s="1"/>
  <c r="DP167" i="6"/>
  <c r="DO167" i="6"/>
  <c r="DN167" i="6"/>
  <c r="AB168" i="6"/>
  <c r="P167" i="6"/>
  <c r="A167" i="6"/>
  <c r="A224" i="6" s="1"/>
  <c r="AB167" i="6"/>
  <c r="Y167" i="6"/>
  <c r="J165" i="6" s="1"/>
  <c r="P166" i="6"/>
  <c r="A166" i="6"/>
  <c r="A223" i="6" s="1"/>
  <c r="P165" i="6"/>
  <c r="A165" i="6"/>
  <c r="A222" i="6" s="1"/>
  <c r="AT141" i="6"/>
  <c r="AT140" i="6"/>
  <c r="AT139" i="6"/>
  <c r="AT138" i="6"/>
  <c r="AT137" i="6"/>
  <c r="AT136" i="6"/>
  <c r="AT135" i="6"/>
  <c r="AT134" i="6"/>
  <c r="AG134" i="6"/>
  <c r="AG133" i="6"/>
  <c r="AG132" i="6"/>
  <c r="AQ125" i="6"/>
  <c r="J125" i="6" s="1"/>
  <c r="AQ124" i="6"/>
  <c r="J124" i="6" s="1"/>
  <c r="A125" i="6"/>
  <c r="A124" i="6"/>
  <c r="AQ123" i="6"/>
  <c r="J123" i="6" s="1"/>
  <c r="AT122" i="6"/>
  <c r="AQ122" i="6"/>
  <c r="J122" i="6" s="1"/>
  <c r="A123" i="6"/>
  <c r="AT121" i="6"/>
  <c r="AQ121" i="6"/>
  <c r="J121" i="6" s="1"/>
  <c r="S122" i="6"/>
  <c r="A122" i="6"/>
  <c r="AT120" i="6"/>
  <c r="AQ120" i="6"/>
  <c r="J120" i="6" s="1"/>
  <c r="S121" i="6"/>
  <c r="A121" i="6"/>
  <c r="DU120" i="6"/>
  <c r="AT119" i="6"/>
  <c r="AQ119" i="6"/>
  <c r="J119" i="6" s="1"/>
  <c r="S120" i="6"/>
  <c r="A120" i="6"/>
  <c r="DU119" i="6"/>
  <c r="AT118" i="6"/>
  <c r="AQ118" i="6"/>
  <c r="J118" i="6" s="1"/>
  <c r="S119" i="6"/>
  <c r="A119" i="6"/>
  <c r="DU118" i="6"/>
  <c r="AT117" i="6"/>
  <c r="AQ117" i="6"/>
  <c r="J117" i="6" s="1"/>
  <c r="S118" i="6"/>
  <c r="A118" i="6"/>
  <c r="DU117" i="6"/>
  <c r="AT116" i="6"/>
  <c r="AQ116" i="6"/>
  <c r="J116" i="6" s="1"/>
  <c r="S117" i="6"/>
  <c r="A117" i="6"/>
  <c r="DU116" i="6"/>
  <c r="AT115" i="6"/>
  <c r="AQ115" i="6"/>
  <c r="J115" i="6" s="1"/>
  <c r="S116" i="6"/>
  <c r="A116" i="6"/>
  <c r="DU115" i="6"/>
  <c r="AT114" i="6"/>
  <c r="AQ114" i="6"/>
  <c r="J114" i="6" s="1"/>
  <c r="S115" i="6"/>
  <c r="A115" i="6"/>
  <c r="DU114" i="6"/>
  <c r="AT113" i="6"/>
  <c r="AQ113" i="6"/>
  <c r="J113" i="6" s="1"/>
  <c r="S114" i="6"/>
  <c r="A114" i="6"/>
  <c r="DU113" i="6"/>
  <c r="AT112" i="6"/>
  <c r="AQ112" i="6"/>
  <c r="J112" i="6" s="1"/>
  <c r="S113" i="6"/>
  <c r="A113" i="6"/>
  <c r="DU112" i="6"/>
  <c r="S112" i="6"/>
  <c r="A112" i="6"/>
  <c r="K78" i="6"/>
  <c r="J78" i="6"/>
  <c r="G78" i="6"/>
  <c r="K75" i="6"/>
  <c r="J75" i="6"/>
  <c r="A75" i="6"/>
  <c r="K74" i="6"/>
  <c r="J74" i="6"/>
  <c r="A74" i="6"/>
  <c r="K73" i="6"/>
  <c r="J73" i="6"/>
  <c r="A73" i="6"/>
  <c r="K72" i="6"/>
  <c r="J72" i="6"/>
  <c r="A72" i="6"/>
  <c r="K71" i="6"/>
  <c r="J71" i="6"/>
  <c r="A71" i="6"/>
  <c r="K70" i="6"/>
  <c r="J70" i="6"/>
  <c r="A70" i="6"/>
  <c r="K69" i="6"/>
  <c r="J69" i="6"/>
  <c r="A69" i="6"/>
  <c r="K68" i="6"/>
  <c r="J68" i="6"/>
  <c r="A68" i="6"/>
  <c r="K67" i="6"/>
  <c r="J67" i="6"/>
  <c r="A67" i="6"/>
  <c r="K66" i="6"/>
  <c r="J66" i="6"/>
  <c r="A66" i="6"/>
  <c r="K65" i="6"/>
  <c r="J65" i="6"/>
  <c r="A65" i="6"/>
  <c r="K64" i="6"/>
  <c r="J64" i="6"/>
  <c r="A64" i="6"/>
  <c r="K63" i="6"/>
  <c r="J63" i="6"/>
  <c r="A63" i="6"/>
  <c r="K62" i="6"/>
  <c r="J62" i="6"/>
  <c r="A62" i="6"/>
  <c r="G45" i="6"/>
  <c r="F45" i="6"/>
  <c r="H128" i="6" s="1"/>
  <c r="G42" i="6"/>
  <c r="AD145" i="6" s="1"/>
  <c r="I125" i="6" s="1"/>
  <c r="F42" i="6"/>
  <c r="H178" i="6" s="1"/>
  <c r="E42" i="6"/>
  <c r="P125" i="6" s="1"/>
  <c r="C42" i="6"/>
  <c r="D42" i="6" s="1"/>
  <c r="B178" i="6" s="1"/>
  <c r="G41" i="6"/>
  <c r="Y209" i="6" s="1"/>
  <c r="I177" i="6" s="1"/>
  <c r="F41" i="6"/>
  <c r="H177" i="6" s="1"/>
  <c r="E41" i="6"/>
  <c r="P124" i="6" s="1"/>
  <c r="C41" i="6"/>
  <c r="D41" i="6" s="1"/>
  <c r="B177" i="6" s="1"/>
  <c r="B41" i="6"/>
  <c r="G40" i="6"/>
  <c r="AD143" i="6" s="1"/>
  <c r="I123" i="6" s="1"/>
  <c r="F40" i="6"/>
  <c r="H176" i="6" s="1"/>
  <c r="E40" i="6"/>
  <c r="G73" i="6" s="1"/>
  <c r="C40" i="6"/>
  <c r="D40" i="6" s="1"/>
  <c r="B176" i="6" s="1"/>
  <c r="B40" i="6"/>
  <c r="G39" i="6"/>
  <c r="AD142" i="6" s="1"/>
  <c r="I122" i="6" s="1"/>
  <c r="F39" i="6"/>
  <c r="H232" i="6" s="1"/>
  <c r="E39" i="6"/>
  <c r="M175" i="6" s="1"/>
  <c r="C39" i="6"/>
  <c r="D39" i="6" s="1"/>
  <c r="B175" i="6" s="1"/>
  <c r="B39" i="6"/>
  <c r="G38" i="6"/>
  <c r="I71" i="6" s="1"/>
  <c r="F38" i="6"/>
  <c r="H174" i="6" s="1"/>
  <c r="E38" i="6"/>
  <c r="P121" i="6" s="1"/>
  <c r="C38" i="6"/>
  <c r="D38" i="6" s="1"/>
  <c r="B174" i="6" s="1"/>
  <c r="B38" i="6"/>
  <c r="G37" i="6"/>
  <c r="AD140" i="6" s="1"/>
  <c r="I120" i="6" s="1"/>
  <c r="F37" i="6"/>
  <c r="H173" i="6" s="1"/>
  <c r="E37" i="6"/>
  <c r="G70" i="6" s="1"/>
  <c r="C37" i="6"/>
  <c r="D37" i="6" s="1"/>
  <c r="B173" i="6" s="1"/>
  <c r="B37" i="6"/>
  <c r="G36" i="6"/>
  <c r="I69" i="6" s="1"/>
  <c r="F36" i="6"/>
  <c r="H172" i="6" s="1"/>
  <c r="E36" i="6"/>
  <c r="P119" i="6" s="1"/>
  <c r="C36" i="6"/>
  <c r="D36" i="6" s="1"/>
  <c r="B172" i="6" s="1"/>
  <c r="B36" i="6"/>
  <c r="G35" i="6"/>
  <c r="AD138" i="6" s="1"/>
  <c r="I118" i="6" s="1"/>
  <c r="F35" i="6"/>
  <c r="H228" i="6" s="1"/>
  <c r="E35" i="6"/>
  <c r="G68" i="6" s="1"/>
  <c r="C35" i="6"/>
  <c r="D35" i="6" s="1"/>
  <c r="B171" i="6" s="1"/>
  <c r="B35" i="6"/>
  <c r="G34" i="6"/>
  <c r="I67" i="6" s="1"/>
  <c r="F34" i="6"/>
  <c r="H170" i="6" s="1"/>
  <c r="E34" i="6"/>
  <c r="G67" i="6" s="1"/>
  <c r="C34" i="6"/>
  <c r="D34" i="6" s="1"/>
  <c r="B170" i="6" s="1"/>
  <c r="B34" i="6"/>
  <c r="G33" i="6"/>
  <c r="AD136" i="6" s="1"/>
  <c r="I116" i="6" s="1"/>
  <c r="F33" i="6"/>
  <c r="H169" i="6" s="1"/>
  <c r="E33" i="6"/>
  <c r="G66" i="6" s="1"/>
  <c r="C33" i="6"/>
  <c r="D33" i="6" s="1"/>
  <c r="B169" i="6" s="1"/>
  <c r="B33" i="6"/>
  <c r="G32" i="6"/>
  <c r="I65" i="6" s="1"/>
  <c r="F32" i="6"/>
  <c r="H168" i="6" s="1"/>
  <c r="E32" i="6"/>
  <c r="P115" i="6" s="1"/>
  <c r="C32" i="6"/>
  <c r="D32" i="6" s="1"/>
  <c r="B168" i="6" s="1"/>
  <c r="B32" i="6"/>
  <c r="G31" i="6"/>
  <c r="AD134" i="6" s="1"/>
  <c r="I114" i="6" s="1"/>
  <c r="F31" i="6"/>
  <c r="H224" i="6" s="1"/>
  <c r="E31" i="6"/>
  <c r="G64" i="6" s="1"/>
  <c r="C31" i="6"/>
  <c r="D31" i="6" s="1"/>
  <c r="B167" i="6" s="1"/>
  <c r="B31" i="6"/>
  <c r="G30" i="6"/>
  <c r="Y198" i="6" s="1"/>
  <c r="I166" i="6" s="1"/>
  <c r="F30" i="6"/>
  <c r="H63" i="6" s="1"/>
  <c r="AD113" i="6" s="1"/>
  <c r="H113" i="6" s="1"/>
  <c r="E30" i="6"/>
  <c r="M223" i="6" s="1"/>
  <c r="G223" i="6" s="1"/>
  <c r="C30" i="6"/>
  <c r="D30" i="6" s="1"/>
  <c r="B113" i="6" s="1"/>
  <c r="B30" i="6"/>
  <c r="G29" i="6"/>
  <c r="I62" i="6" s="1"/>
  <c r="F29" i="6"/>
  <c r="H222" i="6" s="1"/>
  <c r="E29" i="6"/>
  <c r="G62" i="6" s="1"/>
  <c r="C29" i="6"/>
  <c r="D29" i="6" s="1"/>
  <c r="B165" i="6" s="1"/>
  <c r="B29" i="6"/>
  <c r="DM248" i="6" l="1"/>
  <c r="H238" i="6"/>
  <c r="H165" i="6"/>
  <c r="H175" i="6"/>
  <c r="H171" i="6"/>
  <c r="H167" i="6"/>
  <c r="M235" i="6"/>
  <c r="G235" i="6" s="1"/>
  <c r="M231" i="6"/>
  <c r="G231" i="6" s="1"/>
  <c r="M227" i="6"/>
  <c r="G227" i="6" s="1"/>
  <c r="B223" i="6"/>
  <c r="B232" i="6"/>
  <c r="B228" i="6"/>
  <c r="B224" i="6"/>
  <c r="H233" i="6"/>
  <c r="H229" i="6"/>
  <c r="H225" i="6"/>
  <c r="M258" i="6"/>
  <c r="I235" i="6" s="1"/>
  <c r="M254" i="6"/>
  <c r="I231" i="6" s="1"/>
  <c r="M250" i="6"/>
  <c r="I227" i="6" s="1"/>
  <c r="M246" i="6"/>
  <c r="I223" i="6" s="1"/>
  <c r="M222" i="6"/>
  <c r="G222" i="6" s="1"/>
  <c r="M232" i="6"/>
  <c r="G232" i="6" s="1"/>
  <c r="M228" i="6"/>
  <c r="G228" i="6" s="1"/>
  <c r="M224" i="6"/>
  <c r="G224" i="6" s="1"/>
  <c r="B222" i="6"/>
  <c r="B233" i="6"/>
  <c r="B229" i="6"/>
  <c r="B225" i="6"/>
  <c r="H234" i="6"/>
  <c r="H230" i="6"/>
  <c r="H226" i="6"/>
  <c r="M245" i="6"/>
  <c r="I222" i="6" s="1"/>
  <c r="M255" i="6"/>
  <c r="I232" i="6" s="1"/>
  <c r="M251" i="6"/>
  <c r="I228" i="6" s="1"/>
  <c r="M247" i="6"/>
  <c r="I224" i="6" s="1"/>
  <c r="H181" i="6"/>
  <c r="M233" i="6"/>
  <c r="G233" i="6" s="1"/>
  <c r="M229" i="6"/>
  <c r="G229" i="6" s="1"/>
  <c r="M225" i="6"/>
  <c r="G225" i="6" s="1"/>
  <c r="B234" i="6"/>
  <c r="B230" i="6"/>
  <c r="B226" i="6"/>
  <c r="H235" i="6"/>
  <c r="H231" i="6"/>
  <c r="H227" i="6"/>
  <c r="H223" i="6"/>
  <c r="M256" i="6"/>
  <c r="I233" i="6" s="1"/>
  <c r="M252" i="6"/>
  <c r="I229" i="6" s="1"/>
  <c r="M248" i="6"/>
  <c r="I225" i="6" s="1"/>
  <c r="H166" i="6"/>
  <c r="M234" i="6"/>
  <c r="G234" i="6" s="1"/>
  <c r="M230" i="6"/>
  <c r="G230" i="6" s="1"/>
  <c r="M226" i="6"/>
  <c r="G226" i="6" s="1"/>
  <c r="B235" i="6"/>
  <c r="B231" i="6"/>
  <c r="B227" i="6"/>
  <c r="M257" i="6"/>
  <c r="I234" i="6" s="1"/>
  <c r="M253" i="6"/>
  <c r="I230" i="6" s="1"/>
  <c r="M249" i="6"/>
  <c r="I226" i="6" s="1"/>
  <c r="G43" i="6"/>
  <c r="H43" i="6"/>
  <c r="I43" i="6"/>
  <c r="E43" i="6"/>
  <c r="J43" i="6"/>
  <c r="F43" i="6"/>
  <c r="B166" i="6"/>
  <c r="M171" i="6"/>
  <c r="G171" i="6" s="1"/>
  <c r="M167" i="6"/>
  <c r="Y205" i="6"/>
  <c r="I173" i="6" s="1"/>
  <c r="Y201" i="6"/>
  <c r="I169" i="6" s="1"/>
  <c r="M176" i="6"/>
  <c r="G176" i="6" s="1"/>
  <c r="M172" i="6"/>
  <c r="G172" i="6" s="1"/>
  <c r="M168" i="6"/>
  <c r="G168" i="6" s="1"/>
  <c r="Y210" i="6"/>
  <c r="I178" i="6" s="1"/>
  <c r="Y206" i="6"/>
  <c r="I174" i="6" s="1"/>
  <c r="Y202" i="6"/>
  <c r="I170" i="6" s="1"/>
  <c r="M177" i="6"/>
  <c r="G177" i="6" s="1"/>
  <c r="M173" i="6"/>
  <c r="G173" i="6" s="1"/>
  <c r="M169" i="6"/>
  <c r="G169" i="6" s="1"/>
  <c r="Y207" i="6"/>
  <c r="I175" i="6" s="1"/>
  <c r="Y203" i="6"/>
  <c r="I171" i="6" s="1"/>
  <c r="Y199" i="6"/>
  <c r="I167" i="6" s="1"/>
  <c r="M178" i="6"/>
  <c r="M174" i="6"/>
  <c r="M170" i="6"/>
  <c r="G170" i="6" s="1"/>
  <c r="M166" i="6"/>
  <c r="G166" i="6" s="1"/>
  <c r="Y208" i="6"/>
  <c r="I176" i="6" s="1"/>
  <c r="Y204" i="6"/>
  <c r="I172" i="6" s="1"/>
  <c r="Y200" i="6"/>
  <c r="I168" i="6" s="1"/>
  <c r="P122" i="6"/>
  <c r="G122" i="6" s="1"/>
  <c r="P118" i="6"/>
  <c r="P114" i="6"/>
  <c r="G114" i="6" s="1"/>
  <c r="AD144" i="6"/>
  <c r="I124" i="6" s="1"/>
  <c r="P123" i="6"/>
  <c r="G123" i="6" s="1"/>
  <c r="AD141" i="6"/>
  <c r="I121" i="6" s="1"/>
  <c r="AD137" i="6"/>
  <c r="I117" i="6" s="1"/>
  <c r="AD133" i="6"/>
  <c r="I113" i="6" s="1"/>
  <c r="P120" i="6"/>
  <c r="G120" i="6" s="1"/>
  <c r="P116" i="6"/>
  <c r="G116" i="6" s="1"/>
  <c r="P117" i="6"/>
  <c r="G117" i="6" s="1"/>
  <c r="P113" i="6"/>
  <c r="G113" i="6" s="1"/>
  <c r="AD139" i="6"/>
  <c r="I119" i="6" s="1"/>
  <c r="AD135" i="6"/>
  <c r="I115" i="6" s="1"/>
  <c r="P112" i="6"/>
  <c r="G112" i="6" s="1"/>
  <c r="B63" i="6"/>
  <c r="B71" i="6"/>
  <c r="B121" i="6"/>
  <c r="M165" i="6"/>
  <c r="G165" i="6" s="1"/>
  <c r="B65" i="6"/>
  <c r="B73" i="6"/>
  <c r="B117" i="6"/>
  <c r="DM191" i="6"/>
  <c r="DO179" i="6" s="1"/>
  <c r="B67" i="6"/>
  <c r="I74" i="6"/>
  <c r="H75" i="6"/>
  <c r="AD125" i="6" s="1"/>
  <c r="H125" i="6" s="1"/>
  <c r="B69" i="6"/>
  <c r="B123" i="6"/>
  <c r="H78" i="6"/>
  <c r="B74" i="6"/>
  <c r="G167" i="6"/>
  <c r="G175" i="6"/>
  <c r="B62" i="6"/>
  <c r="B112" i="6"/>
  <c r="B64" i="6"/>
  <c r="B66" i="6"/>
  <c r="B116" i="6"/>
  <c r="B68" i="6"/>
  <c r="B70" i="6"/>
  <c r="B120" i="6"/>
  <c r="B72" i="6"/>
  <c r="B122" i="6"/>
  <c r="H74" i="6"/>
  <c r="AD124" i="6" s="1"/>
  <c r="H124" i="6" s="1"/>
  <c r="G125" i="6"/>
  <c r="G75" i="6"/>
  <c r="I128" i="6"/>
  <c r="I78" i="6"/>
  <c r="AD132" i="6"/>
  <c r="I112" i="6" s="1"/>
  <c r="Y197" i="6"/>
  <c r="I165" i="6" s="1"/>
  <c r="G115" i="6"/>
  <c r="G119" i="6"/>
  <c r="I70" i="6"/>
  <c r="G121" i="6"/>
  <c r="G174" i="6"/>
  <c r="G71" i="6"/>
  <c r="I72" i="6"/>
  <c r="G74" i="6"/>
  <c r="B125" i="6"/>
  <c r="B75" i="6"/>
  <c r="H65" i="6"/>
  <c r="AD115" i="6" s="1"/>
  <c r="H115" i="6" s="1"/>
  <c r="H71" i="6"/>
  <c r="AD121" i="6" s="1"/>
  <c r="H121" i="6" s="1"/>
  <c r="G178" i="6"/>
  <c r="G65" i="6"/>
  <c r="I68" i="6"/>
  <c r="H73" i="6"/>
  <c r="AD123" i="6" s="1"/>
  <c r="H123" i="6" s="1"/>
  <c r="B114" i="6"/>
  <c r="G124" i="6"/>
  <c r="G63" i="6"/>
  <c r="I66" i="6"/>
  <c r="H69" i="6"/>
  <c r="AD119" i="6" s="1"/>
  <c r="H119" i="6" s="1"/>
  <c r="I64" i="6"/>
  <c r="H67" i="6"/>
  <c r="AD117" i="6" s="1"/>
  <c r="H117" i="6" s="1"/>
  <c r="G69" i="6"/>
  <c r="B118" i="6"/>
  <c r="H62" i="6"/>
  <c r="AD112" i="6" s="1"/>
  <c r="H112" i="6" s="1"/>
  <c r="H64" i="6"/>
  <c r="AD114" i="6" s="1"/>
  <c r="H114" i="6" s="1"/>
  <c r="H66" i="6"/>
  <c r="AD116" i="6" s="1"/>
  <c r="H116" i="6" s="1"/>
  <c r="H68" i="6"/>
  <c r="AD118" i="6" s="1"/>
  <c r="H118" i="6" s="1"/>
  <c r="H70" i="6"/>
  <c r="AD120" i="6" s="1"/>
  <c r="H120" i="6" s="1"/>
  <c r="H72" i="6"/>
  <c r="AD122" i="6" s="1"/>
  <c r="H122" i="6" s="1"/>
  <c r="G118" i="6"/>
  <c r="B124" i="6"/>
  <c r="I63" i="6"/>
  <c r="G72" i="6"/>
  <c r="I73" i="6"/>
  <c r="I75" i="6"/>
  <c r="B115" i="6"/>
  <c r="B119" i="6"/>
  <c r="DO180" i="6" l="1"/>
  <c r="DQ178" i="6"/>
  <c r="DQ184" i="6"/>
  <c r="DQ174" i="6"/>
  <c r="DQ177" i="6"/>
  <c r="B238" i="6"/>
  <c r="DQ170" i="6"/>
  <c r="DQ185" i="6"/>
  <c r="DQ188" i="6"/>
  <c r="DQ189" i="6"/>
  <c r="DQ169" i="6"/>
  <c r="DQ173" i="6"/>
  <c r="D189" i="6" a="1"/>
  <c r="F189" i="6" s="1"/>
  <c r="D246" i="6" a="1"/>
  <c r="C227" i="6"/>
  <c r="F190" i="6"/>
  <c r="D192" i="6"/>
  <c r="F193" i="6"/>
  <c r="C232" i="6"/>
  <c r="DQ168" i="6"/>
  <c r="DQ172" i="6"/>
  <c r="DQ176" i="6"/>
  <c r="DO183" i="6"/>
  <c r="DQ187" i="6"/>
  <c r="DO181" i="6"/>
  <c r="C235" i="6"/>
  <c r="DQ167" i="6"/>
  <c r="DQ171" i="6"/>
  <c r="DQ175" i="6"/>
  <c r="DO182" i="6"/>
  <c r="DQ186" i="6"/>
  <c r="C233" i="6"/>
  <c r="C231" i="6"/>
  <c r="DQ234" i="6"/>
  <c r="DQ228" i="6"/>
  <c r="DQ227" i="6"/>
  <c r="DQ226" i="6"/>
  <c r="DO236" i="6"/>
  <c r="DQ235" i="6"/>
  <c r="DQ232" i="6"/>
  <c r="DQ246" i="6"/>
  <c r="DQ245" i="6"/>
  <c r="DQ244" i="6"/>
  <c r="DQ243" i="6"/>
  <c r="DQ242" i="6"/>
  <c r="DQ241" i="6"/>
  <c r="DO240" i="6"/>
  <c r="DO239" i="6"/>
  <c r="DO238" i="6"/>
  <c r="DO237" i="6"/>
  <c r="DQ229" i="6"/>
  <c r="DQ225" i="6"/>
  <c r="DQ233" i="6"/>
  <c r="DQ231" i="6"/>
  <c r="DQ230" i="6"/>
  <c r="DQ224" i="6"/>
  <c r="D86" i="6" a="1"/>
  <c r="H88" i="6" s="1"/>
  <c r="C223" i="6"/>
  <c r="C222" i="6"/>
  <c r="C226" i="6"/>
  <c r="C224" i="6"/>
  <c r="C225" i="6"/>
  <c r="C234" i="6"/>
  <c r="C230" i="6"/>
  <c r="C229" i="6"/>
  <c r="C228" i="6"/>
  <c r="F86" i="6"/>
  <c r="D86" i="6"/>
  <c r="I86" i="6"/>
  <c r="H87" i="6"/>
  <c r="H86" i="6"/>
  <c r="E90" i="6"/>
  <c r="G87" i="6"/>
  <c r="I89" i="6"/>
  <c r="F88" i="6"/>
  <c r="F87" i="6"/>
  <c r="G90" i="6"/>
  <c r="D89" i="6"/>
  <c r="H90" i="6"/>
  <c r="D88" i="6"/>
  <c r="E87" i="6"/>
  <c r="E86" i="6"/>
  <c r="H89" i="6"/>
  <c r="D140" i="6" a="1"/>
  <c r="B181" i="6"/>
  <c r="B128" i="6"/>
  <c r="C114" i="6"/>
  <c r="C174" i="6"/>
  <c r="D174" i="6" s="1"/>
  <c r="E174" i="6" s="1"/>
  <c r="C166" i="6"/>
  <c r="D166" i="6" s="1"/>
  <c r="E166" i="6" s="1"/>
  <c r="C122" i="6"/>
  <c r="C68" i="6"/>
  <c r="D68" i="6" s="1"/>
  <c r="E68" i="6" s="1"/>
  <c r="C113" i="6"/>
  <c r="C124" i="6"/>
  <c r="C167" i="6"/>
  <c r="C171" i="6"/>
  <c r="C175" i="6"/>
  <c r="C117" i="6"/>
  <c r="C73" i="6"/>
  <c r="D73" i="6" s="1"/>
  <c r="E73" i="6" s="1"/>
  <c r="C63" i="6"/>
  <c r="D63" i="6" s="1"/>
  <c r="E63" i="6" s="1"/>
  <c r="C66" i="6"/>
  <c r="D66" i="6" s="1"/>
  <c r="E66" i="6" s="1"/>
  <c r="C112" i="6"/>
  <c r="C165" i="6"/>
  <c r="C170" i="6"/>
  <c r="C74" i="6"/>
  <c r="D74" i="6" s="1"/>
  <c r="E74" i="6" s="1"/>
  <c r="C64" i="6"/>
  <c r="D64" i="6" s="1"/>
  <c r="E64" i="6" s="1"/>
  <c r="C118" i="6"/>
  <c r="C169" i="6"/>
  <c r="C173" i="6"/>
  <c r="C177" i="6"/>
  <c r="C65" i="6"/>
  <c r="D65" i="6" s="1"/>
  <c r="E65" i="6" s="1"/>
  <c r="C75" i="6"/>
  <c r="D75" i="6" s="1"/>
  <c r="E75" i="6" s="1"/>
  <c r="C71" i="6"/>
  <c r="D71" i="6" s="1"/>
  <c r="E71" i="6" s="1"/>
  <c r="C67" i="6"/>
  <c r="D67" i="6" s="1"/>
  <c r="E67" i="6" s="1"/>
  <c r="B78" i="6"/>
  <c r="C69" i="6"/>
  <c r="D69" i="6" s="1"/>
  <c r="E69" i="6" s="1"/>
  <c r="C115" i="6"/>
  <c r="C72" i="6"/>
  <c r="D72" i="6" s="1"/>
  <c r="E72" i="6" s="1"/>
  <c r="C120" i="6"/>
  <c r="C125" i="6"/>
  <c r="D125" i="6" s="1"/>
  <c r="E125" i="6" s="1"/>
  <c r="C121" i="6"/>
  <c r="C62" i="6"/>
  <c r="D62" i="6" s="1"/>
  <c r="E62" i="6" s="1"/>
  <c r="C70" i="6"/>
  <c r="D70" i="6" s="1"/>
  <c r="E70" i="6" s="1"/>
  <c r="C123" i="6"/>
  <c r="C116" i="6"/>
  <c r="C119" i="6"/>
  <c r="C178" i="6"/>
  <c r="D178" i="6" s="1"/>
  <c r="E178" i="6" s="1"/>
  <c r="C168" i="6"/>
  <c r="C172" i="6"/>
  <c r="C176" i="6"/>
  <c r="G192" i="6" l="1"/>
  <c r="I190" i="6"/>
  <c r="D190" i="6"/>
  <c r="G193" i="6"/>
  <c r="I87" i="6"/>
  <c r="F89" i="6"/>
  <c r="H192" i="6"/>
  <c r="E191" i="6"/>
  <c r="H193" i="6"/>
  <c r="F191" i="6"/>
  <c r="E88" i="6"/>
  <c r="F90" i="6"/>
  <c r="G191" i="6"/>
  <c r="D189" i="6"/>
  <c r="D87" i="6"/>
  <c r="I90" i="6"/>
  <c r="E89" i="6"/>
  <c r="E189" i="6"/>
  <c r="F192" i="6"/>
  <c r="H189" i="6"/>
  <c r="I192" i="6"/>
  <c r="G88" i="6"/>
  <c r="D90" i="6"/>
  <c r="G89" i="6"/>
  <c r="H190" i="6"/>
  <c r="G190" i="6"/>
  <c r="H191" i="6"/>
  <c r="E193" i="6"/>
  <c r="I88" i="6"/>
  <c r="G86" i="6"/>
  <c r="I189" i="6"/>
  <c r="D229" i="6"/>
  <c r="E229" i="6" s="1"/>
  <c r="C275" i="6"/>
  <c r="B275" i="6"/>
  <c r="D224" i="6"/>
  <c r="E224" i="6" s="1"/>
  <c r="E236" i="6" s="1"/>
  <c r="C270" i="6"/>
  <c r="B270" i="6"/>
  <c r="D223" i="6"/>
  <c r="E223" i="6" s="1"/>
  <c r="C269" i="6"/>
  <c r="B269" i="6"/>
  <c r="D235" i="6"/>
  <c r="E235" i="6" s="1"/>
  <c r="C281" i="6"/>
  <c r="B281" i="6"/>
  <c r="D228" i="6"/>
  <c r="E228" i="6" s="1"/>
  <c r="C274" i="6"/>
  <c r="B274" i="6"/>
  <c r="D225" i="6"/>
  <c r="E225" i="6" s="1"/>
  <c r="C271" i="6"/>
  <c r="B271" i="6"/>
  <c r="D222" i="6"/>
  <c r="E222" i="6" s="1"/>
  <c r="C268" i="6"/>
  <c r="B268" i="6"/>
  <c r="D232" i="6"/>
  <c r="E232" i="6" s="1"/>
  <c r="C278" i="6"/>
  <c r="B278" i="6"/>
  <c r="F246" i="6"/>
  <c r="D250" i="6"/>
  <c r="F247" i="6"/>
  <c r="F252" i="6" s="1"/>
  <c r="F253" i="6" s="1"/>
  <c r="F254" i="6" s="1"/>
  <c r="I250" i="6"/>
  <c r="E248" i="6"/>
  <c r="G250" i="6"/>
  <c r="I247" i="6"/>
  <c r="D249" i="6"/>
  <c r="H250" i="6"/>
  <c r="D248" i="6"/>
  <c r="E247" i="6"/>
  <c r="I248" i="6"/>
  <c r="E246" i="6"/>
  <c r="G248" i="6"/>
  <c r="H249" i="6"/>
  <c r="D247" i="6"/>
  <c r="D252" i="6" s="1"/>
  <c r="D253" i="6" s="1"/>
  <c r="D254" i="6" s="1"/>
  <c r="H248" i="6"/>
  <c r="D246" i="6"/>
  <c r="G249" i="6"/>
  <c r="I246" i="6"/>
  <c r="E249" i="6"/>
  <c r="F250" i="6"/>
  <c r="H247" i="6"/>
  <c r="F249" i="6"/>
  <c r="H246" i="6"/>
  <c r="E250" i="6"/>
  <c r="E256" i="6" s="1"/>
  <c r="G247" i="6"/>
  <c r="I249" i="6"/>
  <c r="G246" i="6"/>
  <c r="G252" i="6" s="1"/>
  <c r="G253" i="6" s="1"/>
  <c r="G254" i="6" s="1"/>
  <c r="F248" i="6"/>
  <c r="D234" i="6"/>
  <c r="E234" i="6" s="1"/>
  <c r="C280" i="6"/>
  <c r="B280" i="6"/>
  <c r="D226" i="6"/>
  <c r="E226" i="6" s="1"/>
  <c r="C272" i="6"/>
  <c r="B272" i="6"/>
  <c r="D233" i="6"/>
  <c r="E233" i="6" s="1"/>
  <c r="C279" i="6"/>
  <c r="B279" i="6"/>
  <c r="D227" i="6"/>
  <c r="E227" i="6" s="1"/>
  <c r="C273" i="6"/>
  <c r="B273" i="6"/>
  <c r="D230" i="6"/>
  <c r="E230" i="6" s="1"/>
  <c r="C276" i="6"/>
  <c r="B276" i="6"/>
  <c r="D231" i="6"/>
  <c r="E231" i="6" s="1"/>
  <c r="C277" i="6"/>
  <c r="B277" i="6"/>
  <c r="G189" i="6"/>
  <c r="D191" i="6"/>
  <c r="I191" i="6"/>
  <c r="E192" i="6"/>
  <c r="D193" i="6"/>
  <c r="I193" i="6"/>
  <c r="E190" i="6"/>
  <c r="F140" i="6"/>
  <c r="I143" i="6"/>
  <c r="F143" i="6"/>
  <c r="H140" i="6"/>
  <c r="E144" i="6"/>
  <c r="G141" i="6"/>
  <c r="E143" i="6"/>
  <c r="H143" i="6"/>
  <c r="D141" i="6"/>
  <c r="D144" i="6"/>
  <c r="F141" i="6"/>
  <c r="I144" i="6"/>
  <c r="E142" i="6"/>
  <c r="G144" i="6"/>
  <c r="F144" i="6"/>
  <c r="H141" i="6"/>
  <c r="H144" i="6"/>
  <c r="D142" i="6"/>
  <c r="E141" i="6"/>
  <c r="I142" i="6"/>
  <c r="E140" i="6"/>
  <c r="I141" i="6"/>
  <c r="F142" i="6"/>
  <c r="G140" i="6"/>
  <c r="H142" i="6"/>
  <c r="D140" i="6"/>
  <c r="G143" i="6"/>
  <c r="I140" i="6"/>
  <c r="G142" i="6"/>
  <c r="D143" i="6"/>
  <c r="D114" i="6"/>
  <c r="E114" i="6" s="1"/>
  <c r="D168" i="6"/>
  <c r="E168" i="6" s="1"/>
  <c r="D123" i="6"/>
  <c r="E123" i="6" s="1"/>
  <c r="D115" i="6"/>
  <c r="E115" i="6" s="1"/>
  <c r="D169" i="6"/>
  <c r="E169" i="6" s="1"/>
  <c r="D170" i="6"/>
  <c r="E170" i="6" s="1"/>
  <c r="D112" i="6"/>
  <c r="E112" i="6" s="1"/>
  <c r="D167" i="6"/>
  <c r="E167" i="6" s="1"/>
  <c r="D122" i="6"/>
  <c r="E122" i="6" s="1"/>
  <c r="D172" i="6"/>
  <c r="E172" i="6" s="1"/>
  <c r="D121" i="6"/>
  <c r="E121" i="6" s="1"/>
  <c r="D173" i="6"/>
  <c r="E173" i="6" s="1"/>
  <c r="D171" i="6"/>
  <c r="E171" i="6" s="1"/>
  <c r="D116" i="6"/>
  <c r="E116" i="6" s="1"/>
  <c r="E76" i="6"/>
  <c r="E77" i="6"/>
  <c r="D120" i="6"/>
  <c r="E120" i="6" s="1"/>
  <c r="D175" i="6"/>
  <c r="E175" i="6" s="1"/>
  <c r="D113" i="6"/>
  <c r="E113" i="6" s="1"/>
  <c r="D176" i="6"/>
  <c r="E176" i="6" s="1"/>
  <c r="D119" i="6"/>
  <c r="E119" i="6" s="1"/>
  <c r="D177" i="6"/>
  <c r="E177" i="6" s="1"/>
  <c r="D118" i="6"/>
  <c r="E118" i="6" s="1"/>
  <c r="D165" i="6"/>
  <c r="E165" i="6" s="1"/>
  <c r="D117" i="6"/>
  <c r="E117" i="6" s="1"/>
  <c r="D124" i="6"/>
  <c r="E124" i="6" s="1"/>
  <c r="H252" i="6" l="1"/>
  <c r="H253" i="6" s="1"/>
  <c r="H254" i="6" s="1"/>
  <c r="E252" i="6"/>
  <c r="E253" i="6" s="1"/>
  <c r="E254" i="6" s="1"/>
  <c r="E237" i="6"/>
  <c r="G92" i="6"/>
  <c r="G93" i="6" s="1"/>
  <c r="G94" i="6" s="1"/>
  <c r="F92" i="6"/>
  <c r="F93" i="6" s="1"/>
  <c r="F94" i="6" s="1"/>
  <c r="E96" i="6"/>
  <c r="E92" i="6"/>
  <c r="E93" i="6" s="1"/>
  <c r="E94" i="6" s="1"/>
  <c r="F146" i="6"/>
  <c r="F147" i="6" s="1"/>
  <c r="F148" i="6" s="1"/>
  <c r="E150" i="6"/>
  <c r="D92" i="6"/>
  <c r="D93" i="6" s="1"/>
  <c r="D94" i="6" s="1"/>
  <c r="H92" i="6"/>
  <c r="H93" i="6" s="1"/>
  <c r="H94" i="6" s="1"/>
  <c r="D195" i="6"/>
  <c r="D196" i="6" s="1"/>
  <c r="D197" i="6" s="1"/>
  <c r="E199" i="6"/>
  <c r="G146" i="6"/>
  <c r="G147" i="6" s="1"/>
  <c r="G148" i="6" s="1"/>
  <c r="E146" i="6"/>
  <c r="E147" i="6" s="1"/>
  <c r="E148" i="6" s="1"/>
  <c r="H146" i="6"/>
  <c r="H147" i="6" s="1"/>
  <c r="H148" i="6" s="1"/>
  <c r="E195" i="6"/>
  <c r="E196" i="6" s="1"/>
  <c r="E197" i="6" s="1"/>
  <c r="E180" i="6"/>
  <c r="E179" i="6"/>
  <c r="G195" i="6"/>
  <c r="G196" i="6" s="1"/>
  <c r="G197" i="6" s="1"/>
  <c r="F195" i="6"/>
  <c r="F196" i="6" s="1"/>
  <c r="F197" i="6" s="1"/>
  <c r="E127" i="6"/>
  <c r="E126" i="6"/>
  <c r="D146" i="6"/>
  <c r="D147" i="6" s="1"/>
  <c r="D148" i="6" s="1"/>
  <c r="H195" i="6"/>
  <c r="H196" i="6" s="1"/>
  <c r="H197" i="6" s="1"/>
</calcChain>
</file>

<file path=xl/sharedStrings.xml><?xml version="1.0" encoding="utf-8"?>
<sst xmlns="http://schemas.openxmlformats.org/spreadsheetml/2006/main" count="412" uniqueCount="153">
  <si>
    <t>Цена, тыс. руб.</t>
  </si>
  <si>
    <t>Расстояние до метро</t>
  </si>
  <si>
    <t>Состояние</t>
  </si>
  <si>
    <t>Этаж</t>
  </si>
  <si>
    <t>Этажность</t>
  </si>
  <si>
    <t>Тип дома</t>
  </si>
  <si>
    <t>Общая площадь</t>
  </si>
  <si>
    <t>Жилая площадь</t>
  </si>
  <si>
    <t>Площадь кухни</t>
  </si>
  <si>
    <t>Комнаты</t>
  </si>
  <si>
    <t>Санузел</t>
  </si>
  <si>
    <t>Авиаконструкторов пр. 14</t>
  </si>
  <si>
    <t>хорошее</t>
  </si>
  <si>
    <t>Р</t>
  </si>
  <si>
    <t>К/М</t>
  </si>
  <si>
    <t>К</t>
  </si>
  <si>
    <t>отличное</t>
  </si>
  <si>
    <t>Богатырский пр. 36</t>
  </si>
  <si>
    <t>19+18</t>
  </si>
  <si>
    <t>Ильюшина ул. 1</t>
  </si>
  <si>
    <t>16+16</t>
  </si>
  <si>
    <t>Камышовая ул. 6 к. 1</t>
  </si>
  <si>
    <t>16+13</t>
  </si>
  <si>
    <t>16+16,4</t>
  </si>
  <si>
    <t>Комендантский пр. 16 к. 1</t>
  </si>
  <si>
    <t>19,3+12,6</t>
  </si>
  <si>
    <t>Комендантский пр. 21 к. 1</t>
  </si>
  <si>
    <t>14+16</t>
  </si>
  <si>
    <t>Комендантский пр. 21 к. 2</t>
  </si>
  <si>
    <t>11,1+19,9</t>
  </si>
  <si>
    <t>19,8+10,4</t>
  </si>
  <si>
    <t>20+11</t>
  </si>
  <si>
    <t>Королева пр. 47 к. 1</t>
  </si>
  <si>
    <t>20+14</t>
  </si>
  <si>
    <t>19,3+10,3</t>
  </si>
  <si>
    <t>Сизова пр. 20 к. 1</t>
  </si>
  <si>
    <t>16,6+16</t>
  </si>
  <si>
    <t>Сизова пр. 19</t>
  </si>
  <si>
    <t>14+20</t>
  </si>
  <si>
    <t>Уточкина ул. 1 к. 1</t>
  </si>
  <si>
    <t>Объект оценки</t>
  </si>
  <si>
    <t>объект оценки помечен красным флажком</t>
  </si>
  <si>
    <t>Комендантский пр. 28 к. 1</t>
  </si>
  <si>
    <t>19,7+12,9</t>
  </si>
  <si>
    <t>Аналог</t>
  </si>
  <si>
    <t>Y</t>
  </si>
  <si>
    <r>
      <t>Y</t>
    </r>
    <r>
      <rPr>
        <b/>
        <vertAlign val="subscript"/>
        <sz val="10"/>
        <color indexed="12"/>
        <rFont val="Arial"/>
        <family val="2"/>
        <charset val="204"/>
      </rPr>
      <t>mod</t>
    </r>
  </si>
  <si>
    <t>X1</t>
  </si>
  <si>
    <t>X2</t>
  </si>
  <si>
    <t>X3</t>
  </si>
  <si>
    <t>X4</t>
  </si>
  <si>
    <t>X5</t>
  </si>
  <si>
    <t>Ош.аппр.</t>
  </si>
  <si>
    <t>Модуль</t>
  </si>
  <si>
    <t>До метро</t>
  </si>
  <si>
    <t>Коэф. жилой площади</t>
  </si>
  <si>
    <t>СрОшАппр</t>
  </si>
  <si>
    <t>MaxОшАппр</t>
  </si>
  <si>
    <t>ЛИНЕЙН</t>
  </si>
  <si>
    <t>A6</t>
  </si>
  <si>
    <t>A5</t>
  </si>
  <si>
    <t>A4</t>
  </si>
  <si>
    <t>A3</t>
  </si>
  <si>
    <t>A2</t>
  </si>
  <si>
    <t>A1</t>
  </si>
  <si>
    <t>A0</t>
  </si>
  <si>
    <t>R-квадрат</t>
  </si>
  <si>
    <t>Дополнит.</t>
  </si>
  <si>
    <t>t Stat</t>
  </si>
  <si>
    <t>построения</t>
  </si>
  <si>
    <t>P-value</t>
  </si>
  <si>
    <t>Фактор значим на</t>
  </si>
  <si>
    <t>Знак коэф.</t>
  </si>
  <si>
    <t>?</t>
  </si>
  <si>
    <t>логичен</t>
  </si>
  <si>
    <t>s-критерий</t>
  </si>
  <si>
    <t>Шаг 2</t>
  </si>
  <si>
    <t>Исходный столбец данных</t>
  </si>
  <si>
    <t>Преобразованные данные</t>
  </si>
  <si>
    <t>Шаг 3</t>
  </si>
  <si>
    <t>Остатки</t>
  </si>
  <si>
    <t>ИСПОЛЬЗОВАНИЕ ФУНКЦИИ ВПР() ПРИ ЗАМЕНЕ ПЕРЕМЕННЫХ</t>
  </si>
  <si>
    <t>Ошибка аппрокс.</t>
  </si>
  <si>
    <t>Отсортированный по возрастанию исходный столбец</t>
  </si>
  <si>
    <t xml:space="preserve"> Преобразованные данные</t>
  </si>
  <si>
    <t>Тип дома, серия</t>
  </si>
  <si>
    <t>Отсортированный по возрастанию исходный столбец без дубликатов</t>
  </si>
  <si>
    <t>П</t>
  </si>
  <si>
    <t>ПУ</t>
  </si>
  <si>
    <t>Результат для объекта оценки</t>
  </si>
  <si>
    <t>Модель с линейными связями</t>
  </si>
  <si>
    <r>
      <t xml:space="preserve">Строится  линейная регрессия от </t>
    </r>
    <r>
      <rPr>
        <sz val="5.5"/>
        <color rgb="FFFF0000"/>
        <rFont val="MS Sans Serif"/>
        <family val="2"/>
        <charset val="204"/>
      </rPr>
      <t>преобразованных</t>
    </r>
    <r>
      <rPr>
        <sz val="5.5"/>
        <color indexed="12"/>
        <rFont val="MS Sans Serif"/>
        <family val="2"/>
        <charset val="204"/>
      </rPr>
      <t xml:space="preserve">  переменных  с помощью функции</t>
    </r>
  </si>
  <si>
    <t xml:space="preserve">Адрес </t>
  </si>
  <si>
    <t xml:space="preserve">Модельные значения </t>
  </si>
  <si>
    <t>ИСПОЛЬЗОВАНИЕ МАКРОСА ПОИСК РЕШЕНИЯ И ФУНКЦИИ ВПР() ПРИ ЗАМЕНЕ ПЕРЕМЕННЫХ</t>
  </si>
  <si>
    <t>ИСХОДНАЯ ВЫБОРКА АНАЛОГОВ</t>
  </si>
  <si>
    <t>Оцифровка исходных данных с учетом  кодировок неколичественных факторов, см. под таблицей</t>
  </si>
  <si>
    <t>Все характеристики модели те же, что у линейной модели на шаге 1</t>
  </si>
  <si>
    <r>
      <t xml:space="preserve">Получаем  регрессионную модель  </t>
    </r>
    <r>
      <rPr>
        <sz val="5.5"/>
        <color rgb="FFFF0000"/>
        <rFont val="MS Sans Serif"/>
        <family val="2"/>
        <charset val="204"/>
      </rPr>
      <t>с линейными зависимостями</t>
    </r>
    <r>
      <rPr>
        <sz val="5.5"/>
        <color indexed="12"/>
        <rFont val="MS Sans Serif"/>
        <family val="2"/>
        <charset val="204"/>
      </rPr>
      <t xml:space="preserve"> </t>
    </r>
    <r>
      <rPr>
        <sz val="5.5"/>
        <color rgb="FFFF0000"/>
        <rFont val="MS Sans Serif"/>
        <family val="2"/>
        <charset val="204"/>
      </rPr>
      <t>от исходных переменных</t>
    </r>
    <r>
      <rPr>
        <sz val="5.5"/>
        <color indexed="12"/>
        <rFont val="MS Sans Serif"/>
        <family val="2"/>
        <charset val="204"/>
      </rPr>
      <t xml:space="preserve">  с помощью функции MS Excel</t>
    </r>
  </si>
  <si>
    <t>путем  оптимизации значений факторов с помощью инструмента "Поиск решения"</t>
  </si>
  <si>
    <t>Теперь проведем замену  переменных  путем  оптимизации оцифровки факторов,</t>
  </si>
  <si>
    <t>Год постройки</t>
  </si>
  <si>
    <t>Комендантский пр. 22 к.1</t>
  </si>
  <si>
    <t>Комендантский пр. 21 к.2</t>
  </si>
  <si>
    <t>Маршала  Новикова ул. 2 к.1</t>
  </si>
  <si>
    <t>Комендантский пр. 23 к. 1</t>
  </si>
  <si>
    <t>панельный 1983-1989 г.г.</t>
  </si>
  <si>
    <t>панельный улучшенный 2003 г.</t>
  </si>
  <si>
    <t>кирпично-монолитный 2000-2007 г.г.</t>
  </si>
  <si>
    <t>кирпичный 2003-2004 г.г.</t>
  </si>
  <si>
    <t>Коэф.жил.площ.</t>
  </si>
  <si>
    <t>Об.Оц.</t>
  </si>
  <si>
    <r>
      <t>Прежде чем удалять из модели незначимые факторы</t>
    </r>
    <r>
      <rPr>
        <sz val="10"/>
        <color indexed="10"/>
        <rFont val="Arial"/>
        <family val="2"/>
        <charset val="204"/>
      </rPr>
      <t xml:space="preserve">, попытаемся выявить возможные нелинейные зависимости </t>
    </r>
  </si>
  <si>
    <t>также повоторялись после преобразования.  Это удобно сделать с помощью функции ВПР()</t>
  </si>
  <si>
    <t xml:space="preserve">Так как замена  пременных еще не проведена (макрос ПОИСК РЕШЕНИЯ не использовался), модель отражает линейные связи. </t>
  </si>
  <si>
    <t xml:space="preserve"> имеющих более двух градаций с помощью инструмента "Поиск решения"</t>
  </si>
  <si>
    <r>
      <t xml:space="preserve">Эта модель </t>
    </r>
    <r>
      <rPr>
        <b/>
        <sz val="11"/>
        <color rgb="FFFF0000"/>
        <rFont val="Arial"/>
        <family val="2"/>
        <charset val="204"/>
      </rPr>
      <t>не может быть признана адекватной</t>
    </r>
    <r>
      <rPr>
        <sz val="11"/>
        <color rgb="FFFF0000"/>
        <rFont val="Arial"/>
        <family val="2"/>
        <charset val="204"/>
      </rPr>
      <t xml:space="preserve">  рыночным данным, т.к. 2 из 5 факторов не имеют требуемого уровня значимости (95%)</t>
    </r>
  </si>
  <si>
    <t xml:space="preserve">Учет нелинейных связей заменой  переменных заметно улучшил модель. </t>
  </si>
  <si>
    <t>Все факторы значимиы с запасом, все знаки коэффициентов уравнения логичны, увеличился коэффициент детерминации,</t>
  </si>
  <si>
    <t>уменьшились и без того малые ошибки аппроксимации.</t>
  </si>
  <si>
    <t>Для этого нужно подготовить массив значений влияющих факторов так, чтобы повторяющиеся одинаковые исходные значения  .</t>
  </si>
  <si>
    <t xml:space="preserve">В качестве независимых переменных выбираем факторы, котрые влияют на ценообразование и по значениям которых аналоги существенно отличаются </t>
  </si>
  <si>
    <t xml:space="preserve">Строим модель с помощью функции ЛИНЕЙН()   </t>
  </si>
  <si>
    <r>
      <t xml:space="preserve">Но, главное,  </t>
    </r>
    <r>
      <rPr>
        <b/>
        <sz val="11"/>
        <color rgb="FFFF0000"/>
        <rFont val="Arial"/>
        <family val="2"/>
        <charset val="204"/>
      </rPr>
      <t>линейные зависимости удельной стоимости от большинства влияющих факторов не соответсвуют ценообразованию на рынке</t>
    </r>
    <r>
      <rPr>
        <sz val="11"/>
        <color rgb="FFFF0000"/>
        <rFont val="Arial"/>
        <family val="2"/>
        <charset val="204"/>
      </rPr>
      <t>.</t>
    </r>
  </si>
  <si>
    <t>Начинаем с первого фактора  - "Расстояние до метро"</t>
  </si>
  <si>
    <t>Дополнительные</t>
  </si>
  <si>
    <t>Строится  линейная регрессия от  включенных переменных  с помощью функции</t>
  </si>
  <si>
    <r>
      <rPr>
        <b/>
        <sz val="10"/>
        <color rgb="FFFF0000"/>
        <rFont val="Arial"/>
        <family val="2"/>
        <charset val="204"/>
      </rPr>
      <t>Однако, полученные зависимости</t>
    </r>
    <r>
      <rPr>
        <sz val="10"/>
        <color rgb="FFFF0000"/>
        <rFont val="Arial"/>
        <family val="2"/>
        <charset val="204"/>
      </rPr>
      <t xml:space="preserve"> преобразованных факторов (и, значит, стоимости) от исходных значений фактров</t>
    </r>
  </si>
  <si>
    <r>
      <t xml:space="preserve">пока </t>
    </r>
    <r>
      <rPr>
        <b/>
        <sz val="10"/>
        <color rgb="FFFF0000"/>
        <rFont val="Arial"/>
        <family val="2"/>
        <charset val="204"/>
      </rPr>
      <t>не соответсвуют</t>
    </r>
    <r>
      <rPr>
        <sz val="10"/>
        <color rgb="FFFF0000"/>
        <rFont val="Arial"/>
        <family val="2"/>
        <charset val="204"/>
      </rPr>
      <t xml:space="preserve"> нашим представлениям о </t>
    </r>
    <r>
      <rPr>
        <b/>
        <sz val="10"/>
        <color rgb="FFFF0000"/>
        <rFont val="Arial"/>
        <family val="2"/>
        <charset val="204"/>
      </rPr>
      <t>закономерностях рыночного ценообразования</t>
    </r>
    <r>
      <rPr>
        <sz val="10"/>
        <color rgb="FFFF0000"/>
        <rFont val="Arial"/>
        <family val="2"/>
        <charset val="204"/>
      </rPr>
      <t>.</t>
    </r>
  </si>
  <si>
    <t xml:space="preserve">В частности, зависимости от расстояния до метро и от общей площади, будучи монотонными, не являются гладкими.  </t>
  </si>
  <si>
    <t>Их необходимо сгладить  вручную, изменяя часть "новых" значений факторов, полученных макромо "Поиск решения"</t>
  </si>
  <si>
    <t>Шаг 4</t>
  </si>
  <si>
    <t>Синим цветом выделены изменные значения</t>
  </si>
  <si>
    <t xml:space="preserve">Это не противоречит рыночному ценообразованию </t>
  </si>
  <si>
    <t xml:space="preserve">Меняя некоторые значения, полученные с помощью макроса "Поиск решения", добиваемся гладкости функций зависимостей </t>
  </si>
  <si>
    <t>"Сглаживание" практически не повлияло на характьеристики модели и оценку удельной стоимомти для объекта оценки.</t>
  </si>
  <si>
    <t xml:space="preserve">Однако модель с зависимостями, соответсвующими представлениям о рыночном ценообразовании, может быть признана адекватной рынку, </t>
  </si>
  <si>
    <t>в то время как модель на предыдущем шаге -  нет.</t>
  </si>
  <si>
    <t>Зависимость  от площади кухни оставляем "дискретной"</t>
  </si>
  <si>
    <t>Шаг 1</t>
  </si>
  <si>
    <t>С этим можно согласиться</t>
  </si>
  <si>
    <t>Модель не различает кирпично-монолитные и кирпичные дома</t>
  </si>
  <si>
    <t>В заключение строится график остатков модели, чтобы убедиться в  случайном их характере:</t>
  </si>
  <si>
    <t xml:space="preserve">      СГЛАЖИВАНИЕ ЗАВИСИМОСТЕЙ, ПОЛУЧЕННЫХ С ПОМОЩЬЮ  МАКРОСА ПОИСК РЕШЕНИЯ  </t>
  </si>
  <si>
    <t>В других случаях характеристики модели  могут несущественно ухудшаться.</t>
  </si>
  <si>
    <t>Уд.цена, руб./кв.м</t>
  </si>
  <si>
    <t xml:space="preserve">  Корреляция фактора с удельной ценой</t>
  </si>
  <si>
    <t>Фактор "состояние" с двумя значениями невозможно оптимизировать.</t>
  </si>
  <si>
    <t>Здесь  показана лишь возможность задания его значений с помощью функции ВПР</t>
  </si>
  <si>
    <t>При желании можно сгладить и ее</t>
  </si>
  <si>
    <t>Смотрим  графики справа</t>
  </si>
  <si>
    <t>Сдвинутые вверх на одну строку преобр. данные</t>
  </si>
  <si>
    <t>Т.к. "Поиск решения" - макрос, представлен результат после его выполнения (переменные преобразованы)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</si>
</sst>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#,##0.0"/>
    <numFmt numFmtId="167" formatCode="0.0%"/>
    <numFmt numFmtId="168" formatCode="0.0.E+00"/>
    <numFmt numFmtId="169" formatCode="0.0000"/>
    <numFmt numFmtId="170" formatCode="0.0E+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indexed="12"/>
      <name val="Arial"/>
      <family val="2"/>
    </font>
    <font>
      <b/>
      <sz val="10"/>
      <color indexed="12"/>
      <name val="Arial"/>
      <family val="2"/>
      <charset val="204"/>
    </font>
    <font>
      <b/>
      <vertAlign val="subscript"/>
      <sz val="10"/>
      <color indexed="12"/>
      <name val="Arial"/>
      <family val="2"/>
      <charset val="204"/>
    </font>
    <font>
      <sz val="5.5"/>
      <color indexed="12"/>
      <name val="MS Sans Serif"/>
      <family val="2"/>
      <charset val="204"/>
    </font>
    <font>
      <sz val="8.5"/>
      <color indexed="12"/>
      <name val="MS Sans Serif"/>
      <family val="2"/>
      <charset val="204"/>
    </font>
    <font>
      <sz val="5.5"/>
      <color indexed="10"/>
      <name val="MS Sans Serif"/>
      <family val="2"/>
      <charset val="204"/>
    </font>
    <font>
      <sz val="5.5"/>
      <color indexed="30"/>
      <name val="MS Sans Serif"/>
      <family val="2"/>
      <charset val="204"/>
    </font>
    <font>
      <sz val="9"/>
      <color indexed="10"/>
      <name val="Arial"/>
      <family val="2"/>
      <charset val="204"/>
    </font>
    <font>
      <sz val="9"/>
      <color indexed="30"/>
      <name val="Arial"/>
      <family val="2"/>
      <charset val="204"/>
    </font>
    <font>
      <sz val="10"/>
      <color indexed="12"/>
      <name val="Arial"/>
      <family val="2"/>
      <charset val="204"/>
    </font>
    <font>
      <sz val="8.5"/>
      <name val="MS Sans Serif"/>
      <family val="2"/>
      <charset val="204"/>
    </font>
    <font>
      <i/>
      <sz val="8"/>
      <color indexed="12"/>
      <name val="Arial Cyr"/>
      <charset val="204"/>
    </font>
    <font>
      <i/>
      <u/>
      <sz val="8"/>
      <color indexed="12"/>
      <name val="Arial Cyr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5.5"/>
      <color rgb="FFFF0000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sz val="5.5"/>
      <color rgb="FFFF0000"/>
      <name val="MS Sans Serif"/>
      <family val="2"/>
      <charset val="204"/>
    </font>
    <font>
      <b/>
      <sz val="24"/>
      <color theme="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8"/>
      <color rgb="FFFF0000"/>
      <name val="Arial Cyr"/>
      <charset val="204"/>
    </font>
    <font>
      <i/>
      <sz val="8"/>
      <color rgb="FF0000FF"/>
      <name val="Arial Cyr"/>
      <charset val="204"/>
    </font>
    <font>
      <sz val="5.5"/>
      <color rgb="FF0000FF"/>
      <name val="MS Sans Serif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5.5"/>
      <color rgb="FF0000FF"/>
      <name val="MS Sans Serif"/>
      <family val="2"/>
      <charset val="204"/>
    </font>
    <font>
      <b/>
      <sz val="2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.5"/>
      <color theme="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0000FF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7" xfId="0" applyBorder="1"/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4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/>
    </xf>
    <xf numFmtId="3" fontId="10" fillId="0" borderId="31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2" fontId="0" fillId="0" borderId="16" xfId="0" applyNumberFormat="1" applyBorder="1"/>
    <xf numFmtId="3" fontId="0" fillId="0" borderId="0" xfId="0" applyNumberFormat="1"/>
    <xf numFmtId="0" fontId="0" fillId="0" borderId="33" xfId="0" applyBorder="1"/>
    <xf numFmtId="3" fontId="10" fillId="0" borderId="8" xfId="0" applyNumberFormat="1" applyFont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0" fontId="0" fillId="0" borderId="29" xfId="0" applyBorder="1"/>
    <xf numFmtId="167" fontId="12" fillId="0" borderId="8" xfId="0" applyNumberFormat="1" applyFont="1" applyBorder="1" applyAlignment="1">
      <alignment horizontal="center"/>
    </xf>
    <xf numFmtId="167" fontId="13" fillId="0" borderId="8" xfId="0" applyNumberFormat="1" applyFont="1" applyBorder="1" applyAlignment="1">
      <alignment horizontal="center"/>
    </xf>
    <xf numFmtId="166" fontId="0" fillId="0" borderId="0" xfId="0" applyNumberFormat="1"/>
    <xf numFmtId="49" fontId="8" fillId="2" borderId="0" xfId="0" applyNumberFormat="1" applyFont="1" applyFill="1" applyAlignment="1">
      <alignment horizontal="left" vertical="top"/>
    </xf>
    <xf numFmtId="49" fontId="8" fillId="0" borderId="16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164" fontId="15" fillId="2" borderId="6" xfId="0" applyNumberFormat="1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/>
    </xf>
    <xf numFmtId="164" fontId="15" fillId="2" borderId="33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5" fontId="15" fillId="2" borderId="8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2" fontId="15" fillId="2" borderId="16" xfId="0" applyNumberFormat="1" applyFont="1" applyFill="1" applyBorder="1" applyAlignment="1">
      <alignment horizontal="center"/>
    </xf>
    <xf numFmtId="2" fontId="15" fillId="2" borderId="33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1" fontId="15" fillId="2" borderId="29" xfId="0" applyNumberFormat="1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7" fontId="8" fillId="0" borderId="0" xfId="1" applyNumberFormat="1" applyFont="1" applyFill="1" applyBorder="1" applyAlignment="1">
      <alignment horizontal="center" vertical="top"/>
    </xf>
    <xf numFmtId="0" fontId="16" fillId="0" borderId="28" xfId="0" applyFont="1" applyBorder="1" applyAlignment="1">
      <alignment horizontal="center"/>
    </xf>
    <xf numFmtId="49" fontId="8" fillId="0" borderId="29" xfId="0" applyNumberFormat="1" applyFont="1" applyBorder="1" applyAlignment="1">
      <alignment horizontal="center" vertical="top"/>
    </xf>
    <xf numFmtId="168" fontId="15" fillId="3" borderId="29" xfId="0" applyNumberFormat="1" applyFont="1" applyFill="1" applyBorder="1" applyAlignment="1">
      <alignment horizontal="center"/>
    </xf>
    <xf numFmtId="167" fontId="0" fillId="0" borderId="0" xfId="0" applyNumberFormat="1"/>
    <xf numFmtId="0" fontId="18" fillId="4" borderId="38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8" fillId="0" borderId="0" xfId="0" applyNumberFormat="1" applyFont="1" applyAlignment="1">
      <alignment horizontal="center" vertical="top" wrapText="1"/>
    </xf>
    <xf numFmtId="164" fontId="0" fillId="0" borderId="16" xfId="0" applyNumberFormat="1" applyBorder="1"/>
    <xf numFmtId="2" fontId="15" fillId="2" borderId="6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1" applyNumberFormat="1" applyFont="1"/>
    <xf numFmtId="164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7" fillId="0" borderId="0" xfId="0" applyFont="1"/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0" fillId="0" borderId="0" xfId="0" applyFont="1"/>
    <xf numFmtId="0" fontId="28" fillId="0" borderId="0" xfId="0" applyFont="1"/>
    <xf numFmtId="3" fontId="11" fillId="0" borderId="32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0" fontId="32" fillId="0" borderId="33" xfId="0" applyFont="1" applyBorder="1" applyAlignment="1">
      <alignment horizontal="center"/>
    </xf>
    <xf numFmtId="0" fontId="31" fillId="0" borderId="0" xfId="0" applyFont="1" applyAlignment="1">
      <alignment horizontal="center"/>
    </xf>
    <xf numFmtId="167" fontId="33" fillId="0" borderId="0" xfId="1" applyNumberFormat="1" applyFont="1" applyFill="1" applyBorder="1" applyAlignment="1">
      <alignment horizontal="center" vertical="top"/>
    </xf>
    <xf numFmtId="169" fontId="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36" fillId="0" borderId="8" xfId="0" applyNumberFormat="1" applyFont="1" applyBorder="1" applyAlignment="1">
      <alignment horizontal="center" vertical="center"/>
    </xf>
    <xf numFmtId="1" fontId="0" fillId="3" borderId="6" xfId="0" applyNumberFormat="1" applyFill="1" applyBorder="1"/>
    <xf numFmtId="164" fontId="0" fillId="3" borderId="16" xfId="0" applyNumberFormat="1" applyFill="1" applyBorder="1"/>
    <xf numFmtId="164" fontId="0" fillId="3" borderId="4" xfId="0" applyNumberFormat="1" applyFill="1" applyBorder="1"/>
    <xf numFmtId="164" fontId="0" fillId="3" borderId="37" xfId="0" applyNumberFormat="1" applyFill="1" applyBorder="1"/>
    <xf numFmtId="164" fontId="0" fillId="3" borderId="35" xfId="0" applyNumberFormat="1" applyFill="1" applyBorder="1"/>
    <xf numFmtId="1" fontId="0" fillId="3" borderId="36" xfId="0" applyNumberFormat="1" applyFill="1" applyBorder="1"/>
    <xf numFmtId="0" fontId="0" fillId="3" borderId="8" xfId="0" applyFill="1" applyBorder="1"/>
    <xf numFmtId="2" fontId="0" fillId="3" borderId="8" xfId="0" applyNumberFormat="1" applyFill="1" applyBorder="1"/>
    <xf numFmtId="0" fontId="4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/>
    <xf numFmtId="3" fontId="11" fillId="0" borderId="8" xfId="0" applyNumberFormat="1" applyFont="1" applyBorder="1" applyAlignment="1">
      <alignment horizontal="center" vertical="center"/>
    </xf>
    <xf numFmtId="9" fontId="0" fillId="0" borderId="0" xfId="1" applyFont="1"/>
    <xf numFmtId="167" fontId="12" fillId="0" borderId="18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" fontId="0" fillId="3" borderId="16" xfId="0" applyNumberFormat="1" applyFill="1" applyBorder="1"/>
    <xf numFmtId="1" fontId="0" fillId="3" borderId="37" xfId="0" applyNumberFormat="1" applyFill="1" applyBorder="1"/>
    <xf numFmtId="9" fontId="25" fillId="0" borderId="0" xfId="1" applyFont="1" applyFill="1" applyBorder="1" applyAlignment="1">
      <alignment horizontal="center" vertical="top"/>
    </xf>
    <xf numFmtId="9" fontId="10" fillId="0" borderId="0" xfId="1" applyFont="1" applyFill="1" applyBorder="1" applyAlignment="1">
      <alignment horizontal="center" vertical="top"/>
    </xf>
    <xf numFmtId="9" fontId="8" fillId="0" borderId="0" xfId="1" applyFont="1" applyFill="1" applyBorder="1" applyAlignment="1">
      <alignment horizontal="center" vertical="top"/>
    </xf>
    <xf numFmtId="49" fontId="8" fillId="0" borderId="16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9" fontId="33" fillId="0" borderId="0" xfId="1" applyFont="1" applyFill="1" applyBorder="1" applyAlignment="1">
      <alignment horizontal="center" vertical="top"/>
    </xf>
    <xf numFmtId="3" fontId="36" fillId="0" borderId="0" xfId="0" applyNumberFormat="1" applyFont="1" applyAlignment="1">
      <alignment horizontal="center" vertical="center"/>
    </xf>
    <xf numFmtId="49" fontId="8" fillId="0" borderId="29" xfId="0" applyNumberFormat="1" applyFont="1" applyBorder="1" applyAlignment="1">
      <alignment horizontal="left" vertical="top"/>
    </xf>
    <xf numFmtId="0" fontId="28" fillId="0" borderId="0" xfId="0" applyFont="1" applyAlignment="1">
      <alignment horizontal="right"/>
    </xf>
    <xf numFmtId="0" fontId="14" fillId="0" borderId="33" xfId="0" applyFont="1" applyBorder="1" applyAlignment="1">
      <alignment horizontal="center"/>
    </xf>
    <xf numFmtId="49" fontId="34" fillId="0" borderId="0" xfId="0" applyNumberFormat="1" applyFont="1" applyAlignment="1">
      <alignment horizontal="left" vertical="top"/>
    </xf>
    <xf numFmtId="49" fontId="34" fillId="0" borderId="0" xfId="0" applyNumberFormat="1" applyFont="1" applyAlignment="1">
      <alignment horizontal="center" vertical="top"/>
    </xf>
    <xf numFmtId="168" fontId="34" fillId="0" borderId="0" xfId="0" applyNumberFormat="1" applyFont="1" applyAlignment="1">
      <alignment horizontal="center"/>
    </xf>
    <xf numFmtId="0" fontId="34" fillId="0" borderId="0" xfId="0" applyFont="1"/>
    <xf numFmtId="49" fontId="34" fillId="7" borderId="6" xfId="0" applyNumberFormat="1" applyFont="1" applyFill="1" applyBorder="1" applyAlignment="1">
      <alignment horizontal="left" vertical="top"/>
    </xf>
    <xf numFmtId="0" fontId="34" fillId="7" borderId="16" xfId="0" applyFont="1" applyFill="1" applyBorder="1"/>
    <xf numFmtId="168" fontId="34" fillId="7" borderId="16" xfId="0" applyNumberFormat="1" applyFont="1" applyFill="1" applyBorder="1" applyAlignment="1">
      <alignment horizontal="center"/>
    </xf>
    <xf numFmtId="49" fontId="34" fillId="7" borderId="28" xfId="0" applyNumberFormat="1" applyFont="1" applyFill="1" applyBorder="1" applyAlignment="1">
      <alignment horizontal="left" vertical="top"/>
    </xf>
    <xf numFmtId="49" fontId="34" fillId="7" borderId="29" xfId="0" applyNumberFormat="1" applyFont="1" applyFill="1" applyBorder="1" applyAlignment="1">
      <alignment horizontal="center" vertical="top"/>
    </xf>
    <xf numFmtId="168" fontId="34" fillId="7" borderId="29" xfId="0" applyNumberFormat="1" applyFont="1" applyFill="1" applyBorder="1" applyAlignment="1">
      <alignment horizontal="center"/>
    </xf>
    <xf numFmtId="0" fontId="34" fillId="7" borderId="29" xfId="0" applyFont="1" applyFill="1" applyBorder="1"/>
    <xf numFmtId="0" fontId="34" fillId="7" borderId="30" xfId="0" applyFont="1" applyFill="1" applyBorder="1"/>
    <xf numFmtId="0" fontId="0" fillId="0" borderId="40" xfId="0" applyBorder="1"/>
    <xf numFmtId="0" fontId="0" fillId="0" borderId="18" xfId="0" applyBorder="1"/>
    <xf numFmtId="0" fontId="0" fillId="0" borderId="24" xfId="0" applyBorder="1"/>
    <xf numFmtId="0" fontId="29" fillId="0" borderId="10" xfId="0" applyFont="1" applyBorder="1"/>
    <xf numFmtId="0" fontId="37" fillId="0" borderId="0" xfId="0" applyFont="1" applyAlignment="1">
      <alignment horizontal="center" vertical="center"/>
    </xf>
    <xf numFmtId="0" fontId="41" fillId="7" borderId="0" xfId="0" applyFont="1" applyFill="1"/>
    <xf numFmtId="0" fontId="40" fillId="7" borderId="0" xfId="0" applyFont="1" applyFill="1"/>
    <xf numFmtId="0" fontId="20" fillId="0" borderId="0" xfId="0" applyFont="1" applyAlignment="1">
      <alignment horizontal="left"/>
    </xf>
    <xf numFmtId="49" fontId="8" fillId="0" borderId="0" xfId="0" applyNumberFormat="1" applyFont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23" fillId="6" borderId="0" xfId="0" applyNumberFormat="1" applyFont="1" applyFill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0" xfId="2" applyBorder="1" applyAlignment="1" applyProtection="1"/>
    <xf numFmtId="0" fontId="0" fillId="0" borderId="23" xfId="0" applyBorder="1"/>
    <xf numFmtId="1" fontId="0" fillId="0" borderId="23" xfId="0" applyNumberFormat="1" applyBorder="1" applyAlignment="1">
      <alignment horizontal="center"/>
    </xf>
    <xf numFmtId="0" fontId="0" fillId="0" borderId="22" xfId="0" applyBorder="1"/>
    <xf numFmtId="0" fontId="27" fillId="0" borderId="0" xfId="0" applyFont="1" applyAlignment="1">
      <alignment horizontal="right"/>
    </xf>
    <xf numFmtId="0" fontId="14" fillId="0" borderId="29" xfId="0" applyFont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164" fontId="0" fillId="3" borderId="8" xfId="0" applyNumberFormat="1" applyFill="1" applyBorder="1"/>
    <xf numFmtId="165" fontId="39" fillId="0" borderId="33" xfId="0" applyNumberFormat="1" applyFont="1" applyBorder="1" applyAlignment="1">
      <alignment horizontal="center"/>
    </xf>
    <xf numFmtId="1" fontId="0" fillId="3" borderId="8" xfId="0" applyNumberFormat="1" applyFill="1" applyBorder="1"/>
    <xf numFmtId="164" fontId="0" fillId="3" borderId="4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0" fontId="38" fillId="0" borderId="33" xfId="0" applyFont="1" applyBorder="1"/>
    <xf numFmtId="0" fontId="42" fillId="0" borderId="0" xfId="0" applyFont="1"/>
    <xf numFmtId="0" fontId="28" fillId="0" borderId="0" xfId="0" applyFont="1" applyAlignment="1">
      <alignment horizontal="center"/>
    </xf>
    <xf numFmtId="49" fontId="8" fillId="2" borderId="29" xfId="0" applyNumberFormat="1" applyFont="1" applyFill="1" applyBorder="1" applyAlignment="1">
      <alignment horizontal="left" vertical="top"/>
    </xf>
    <xf numFmtId="0" fontId="0" fillId="7" borderId="0" xfId="0" applyFill="1"/>
    <xf numFmtId="0" fontId="22" fillId="7" borderId="0" xfId="0" applyFont="1" applyFill="1"/>
    <xf numFmtId="1" fontId="27" fillId="0" borderId="0" xfId="0" applyNumberFormat="1" applyFont="1"/>
    <xf numFmtId="2" fontId="0" fillId="3" borderId="37" xfId="0" applyNumberFormat="1" applyFill="1" applyBorder="1" applyAlignment="1">
      <alignment horizontal="center"/>
    </xf>
    <xf numFmtId="164" fontId="27" fillId="0" borderId="0" xfId="0" applyNumberFormat="1" applyFont="1"/>
    <xf numFmtId="0" fontId="43" fillId="0" borderId="0" xfId="0" applyFont="1"/>
    <xf numFmtId="0" fontId="27" fillId="0" borderId="23" xfId="0" applyFont="1" applyBorder="1" applyAlignment="1">
      <alignment horizontal="center"/>
    </xf>
    <xf numFmtId="2" fontId="27" fillId="0" borderId="0" xfId="0" applyNumberFormat="1" applyFont="1"/>
    <xf numFmtId="0" fontId="41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1" fontId="28" fillId="0" borderId="0" xfId="0" applyNumberFormat="1" applyFont="1"/>
    <xf numFmtId="49" fontId="8" fillId="0" borderId="0" xfId="0" applyNumberFormat="1" applyFont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23" fillId="6" borderId="0" xfId="0" applyNumberFormat="1" applyFont="1" applyFill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0" fontId="26" fillId="5" borderId="0" xfId="0" applyFont="1" applyFill="1" applyAlignment="1">
      <alignment horizontal="left"/>
    </xf>
    <xf numFmtId="0" fontId="26" fillId="5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49" fontId="8" fillId="0" borderId="16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top" wrapText="1"/>
    </xf>
    <xf numFmtId="49" fontId="8" fillId="0" borderId="34" xfId="0" applyNumberFormat="1" applyFont="1" applyBorder="1" applyAlignment="1">
      <alignment horizontal="right" vertical="top" wrapText="1"/>
    </xf>
    <xf numFmtId="49" fontId="8" fillId="0" borderId="2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poly"/>
            <c:order val="3"/>
            <c:dispRSqr val="0"/>
            <c:dispEq val="0"/>
          </c:trendline>
          <c:xVal>
            <c:numRef>
              <c:f>'ВПР и Поиск решения'!$Q$112:$Q$124</c:f>
              <c:numCache>
                <c:formatCode>0</c:formatCode>
                <c:ptCount val="13"/>
                <c:pt idx="0">
                  <c:v>80</c:v>
                </c:pt>
                <c:pt idx="1">
                  <c:v>190</c:v>
                </c:pt>
                <c:pt idx="2">
                  <c:v>380</c:v>
                </c:pt>
                <c:pt idx="3">
                  <c:v>440</c:v>
                </c:pt>
                <c:pt idx="4">
                  <c:v>490</c:v>
                </c:pt>
                <c:pt idx="5">
                  <c:v>550</c:v>
                </c:pt>
                <c:pt idx="6">
                  <c:v>600</c:v>
                </c:pt>
                <c:pt idx="7">
                  <c:v>710</c:v>
                </c:pt>
                <c:pt idx="8">
                  <c:v>930</c:v>
                </c:pt>
                <c:pt idx="9">
                  <c:v>1180</c:v>
                </c:pt>
                <c:pt idx="10">
                  <c:v>1200</c:v>
                </c:pt>
                <c:pt idx="11">
                  <c:v>1500</c:v>
                </c:pt>
                <c:pt idx="12">
                  <c:v>1700</c:v>
                </c:pt>
              </c:numCache>
            </c:numRef>
          </c:xVal>
          <c:yVal>
            <c:numRef>
              <c:f>'ВПР и Поиск решения'!$R$112:$R$124</c:f>
              <c:numCache>
                <c:formatCode>0</c:formatCode>
                <c:ptCount val="13"/>
                <c:pt idx="0" formatCode="General">
                  <c:v>80</c:v>
                </c:pt>
                <c:pt idx="1">
                  <c:v>190</c:v>
                </c:pt>
                <c:pt idx="2" formatCode="General">
                  <c:v>380</c:v>
                </c:pt>
                <c:pt idx="3">
                  <c:v>440</c:v>
                </c:pt>
                <c:pt idx="4">
                  <c:v>490</c:v>
                </c:pt>
                <c:pt idx="5">
                  <c:v>550</c:v>
                </c:pt>
                <c:pt idx="6">
                  <c:v>600</c:v>
                </c:pt>
                <c:pt idx="7">
                  <c:v>710</c:v>
                </c:pt>
                <c:pt idx="8">
                  <c:v>930</c:v>
                </c:pt>
                <c:pt idx="9">
                  <c:v>1180</c:v>
                </c:pt>
                <c:pt idx="10">
                  <c:v>1200</c:v>
                </c:pt>
                <c:pt idx="11">
                  <c:v>1500</c:v>
                </c:pt>
                <c:pt idx="12">
                  <c:v>1700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4-1041-9979-53FAFA33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22944"/>
        <c:axId val="132539520"/>
      </c:scatterChart>
      <c:valAx>
        <c:axId val="13192294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 значения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32539520"/>
        <c:crosses val="autoZero"/>
        <c:crossBetween val="midCat"/>
      </c:valAx>
      <c:valAx>
        <c:axId val="1325395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2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'ВПР и Поиск решения'!$AE$132:$AE$136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'ВПР и Поиск решения'!$AF$132:$AF$136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3-DE4F-B2B0-C39C6E9F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89632"/>
        <c:axId val="147991552"/>
      </c:scatterChart>
      <c:valAx>
        <c:axId val="14798963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 значения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7991552"/>
        <c:crosses val="autoZero"/>
        <c:crossBetween val="midCat"/>
      </c:valAx>
      <c:valAx>
        <c:axId val="1479915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798963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'ВПР и Поиск решения'!$AR$112:$AR$123</c:f>
              <c:numCache>
                <c:formatCode>0.0</c:formatCode>
                <c:ptCount val="12"/>
                <c:pt idx="0">
                  <c:v>58</c:v>
                </c:pt>
                <c:pt idx="1">
                  <c:v>51.7</c:v>
                </c:pt>
                <c:pt idx="2">
                  <c:v>52</c:v>
                </c:pt>
                <c:pt idx="3">
                  <c:v>52.5</c:v>
                </c:pt>
                <c:pt idx="4">
                  <c:v>52.7</c:v>
                </c:pt>
                <c:pt idx="5">
                  <c:v>56</c:v>
                </c:pt>
                <c:pt idx="6">
                  <c:v>56.4</c:v>
                </c:pt>
                <c:pt idx="7">
                  <c:v>59</c:v>
                </c:pt>
                <c:pt idx="8">
                  <c:v>60</c:v>
                </c:pt>
                <c:pt idx="9">
                  <c:v>62</c:v>
                </c:pt>
                <c:pt idx="10">
                  <c:v>63</c:v>
                </c:pt>
                <c:pt idx="11">
                  <c:v>65</c:v>
                </c:pt>
              </c:numCache>
            </c:numRef>
          </c:xVal>
          <c:yVal>
            <c:numRef>
              <c:f>'ВПР и Поиск решения'!$AS$112:$AS$123</c:f>
              <c:numCache>
                <c:formatCode>0.0</c:formatCode>
                <c:ptCount val="12"/>
                <c:pt idx="0">
                  <c:v>58</c:v>
                </c:pt>
                <c:pt idx="1">
                  <c:v>51.7</c:v>
                </c:pt>
                <c:pt idx="2">
                  <c:v>52</c:v>
                </c:pt>
                <c:pt idx="3">
                  <c:v>52.5</c:v>
                </c:pt>
                <c:pt idx="4">
                  <c:v>52.7</c:v>
                </c:pt>
                <c:pt idx="5">
                  <c:v>56</c:v>
                </c:pt>
                <c:pt idx="6">
                  <c:v>56.4</c:v>
                </c:pt>
                <c:pt idx="7">
                  <c:v>59</c:v>
                </c:pt>
                <c:pt idx="8">
                  <c:v>60</c:v>
                </c:pt>
                <c:pt idx="9">
                  <c:v>62</c:v>
                </c:pt>
                <c:pt idx="10">
                  <c:v>63</c:v>
                </c:pt>
                <c:pt idx="11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E6-AF48-AAEB-E84C1A9E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83360"/>
        <c:axId val="148030592"/>
      </c:scatterChart>
      <c:valAx>
        <c:axId val="147983360"/>
        <c:scaling>
          <c:orientation val="minMax"/>
          <c:min val="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</a:t>
                </a:r>
                <a:r>
                  <a:rPr lang="ru-RU" baseline="0"/>
                  <a:t> значения</a:t>
                </a:r>
                <a:endParaRPr lang="ru-RU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8030592"/>
        <c:crosses val="autoZero"/>
        <c:crossBetween val="midCat"/>
      </c:valAx>
      <c:valAx>
        <c:axId val="148030592"/>
        <c:scaling>
          <c:orientation val="minMax"/>
          <c:min val="5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4798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Коэф. жилой площади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E-774D-9B22-F4428FE72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00960"/>
        <c:axId val="136202496"/>
      </c:scatterChart>
      <c:valAx>
        <c:axId val="136200960"/>
        <c:scaling>
          <c:orientation val="minMax"/>
          <c:min val="0.2"/>
        </c:scaling>
        <c:delete val="0"/>
        <c:axPos val="b"/>
        <c:numFmt formatCode="0.00" sourceLinked="1"/>
        <c:majorTickMark val="none"/>
        <c:minorTickMark val="none"/>
        <c:tickLblPos val="nextTo"/>
        <c:crossAx val="136202496"/>
        <c:crosses val="autoZero"/>
        <c:crossBetween val="midCat"/>
      </c:valAx>
      <c:valAx>
        <c:axId val="136202496"/>
        <c:scaling>
          <c:orientation val="minMax"/>
          <c:min val="0.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6200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'ВПР и Поиск решения'!$AR$134:$AR$145</c:f>
              <c:numCache>
                <c:formatCode>0.0</c:formatCode>
                <c:ptCount val="12"/>
                <c:pt idx="0">
                  <c:v>7.4</c:v>
                </c:pt>
                <c:pt idx="1">
                  <c:v>7.8</c:v>
                </c:pt>
                <c:pt idx="2">
                  <c:v>7.9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10.1</c:v>
                </c:pt>
                <c:pt idx="7">
                  <c:v>10.5</c:v>
                </c:pt>
                <c:pt idx="8">
                  <c:v>10.7</c:v>
                </c:pt>
                <c:pt idx="9">
                  <c:v>11.5</c:v>
                </c:pt>
                <c:pt idx="10">
                  <c:v>12.7</c:v>
                </c:pt>
                <c:pt idx="11">
                  <c:v>13</c:v>
                </c:pt>
              </c:numCache>
            </c:numRef>
          </c:xVal>
          <c:yVal>
            <c:numRef>
              <c:f>'ВПР и Поиск решения'!$AS$134:$AS$145</c:f>
              <c:numCache>
                <c:formatCode>0.0</c:formatCode>
                <c:ptCount val="12"/>
                <c:pt idx="0">
                  <c:v>7.4</c:v>
                </c:pt>
                <c:pt idx="1">
                  <c:v>7.8</c:v>
                </c:pt>
                <c:pt idx="2">
                  <c:v>7.9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10.1</c:v>
                </c:pt>
                <c:pt idx="7">
                  <c:v>10.5</c:v>
                </c:pt>
                <c:pt idx="8">
                  <c:v>10.7</c:v>
                </c:pt>
                <c:pt idx="9">
                  <c:v>11.5</c:v>
                </c:pt>
                <c:pt idx="10">
                  <c:v>12.7</c:v>
                </c:pt>
                <c:pt idx="1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0-5848-9F25-28BAB823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10688"/>
        <c:axId val="136221056"/>
      </c:scatterChart>
      <c:valAx>
        <c:axId val="136210688"/>
        <c:scaling>
          <c:orientation val="minMax"/>
          <c:min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 значения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221056"/>
        <c:crosses val="autoZero"/>
        <c:crossBetween val="midCat"/>
      </c:valAx>
      <c:valAx>
        <c:axId val="136221056"/>
        <c:scaling>
          <c:orientation val="minMax"/>
          <c:min val="7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21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'ВПР и Поиск решения'!$B$268:$B$281</c:f>
              <c:numCache>
                <c:formatCode>0</c:formatCode>
                <c:ptCount val="14"/>
                <c:pt idx="0">
                  <c:v>76151.377740217969</c:v>
                </c:pt>
                <c:pt idx="1">
                  <c:v>90474.739612508492</c:v>
                </c:pt>
                <c:pt idx="2">
                  <c:v>96113.587151711981</c:v>
                </c:pt>
                <c:pt idx="3">
                  <c:v>87903.226325924363</c:v>
                </c:pt>
                <c:pt idx="4">
                  <c:v>103851.46602626063</c:v>
                </c:pt>
                <c:pt idx="5">
                  <c:v>77878.943410525317</c:v>
                </c:pt>
                <c:pt idx="6">
                  <c:v>92012.365028661108</c:v>
                </c:pt>
                <c:pt idx="7">
                  <c:v>86538.559056714526</c:v>
                </c:pt>
                <c:pt idx="8">
                  <c:v>87301.593848579694</c:v>
                </c:pt>
                <c:pt idx="9">
                  <c:v>90908.993124114117</c:v>
                </c:pt>
                <c:pt idx="10">
                  <c:v>96113.587151685933</c:v>
                </c:pt>
                <c:pt idx="11">
                  <c:v>98319.53501504485</c:v>
                </c:pt>
                <c:pt idx="12">
                  <c:v>88932.457307473291</c:v>
                </c:pt>
                <c:pt idx="13">
                  <c:v>81613.356757427304</c:v>
                </c:pt>
              </c:numCache>
            </c:numRef>
          </c:xVal>
          <c:yVal>
            <c:numRef>
              <c:f>'ВПР и Поиск решения'!$C$268:$C$281</c:f>
              <c:numCache>
                <c:formatCode>0</c:formatCode>
                <c:ptCount val="14"/>
                <c:pt idx="0">
                  <c:v>289.30877470072301</c:v>
                </c:pt>
                <c:pt idx="1">
                  <c:v>-294.49115672227344</c:v>
                </c:pt>
                <c:pt idx="2">
                  <c:v>1236.9268101560156</c:v>
                </c:pt>
                <c:pt idx="3">
                  <c:v>5.1947275642305613E-4</c:v>
                </c:pt>
                <c:pt idx="4">
                  <c:v>280.03745483206876</c:v>
                </c:pt>
                <c:pt idx="5">
                  <c:v>-569.33245154365432</c:v>
                </c:pt>
                <c:pt idx="6">
                  <c:v>583.79360008967342</c:v>
                </c:pt>
                <c:pt idx="7">
                  <c:v>9.7518252994632348E-2</c:v>
                </c:pt>
                <c:pt idx="8">
                  <c:v>6.5469923865748569E-3</c:v>
                </c:pt>
                <c:pt idx="9">
                  <c:v>-9.7784976780530997E-2</c:v>
                </c:pt>
                <c:pt idx="10">
                  <c:v>-2100.6985625997768</c:v>
                </c:pt>
                <c:pt idx="11">
                  <c:v>14.450269282140653</c:v>
                </c:pt>
                <c:pt idx="12">
                  <c:v>279.97503796973615</c:v>
                </c:pt>
                <c:pt idx="13">
                  <c:v>280.02342409397534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D-B644-B46A-11A52A79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2320"/>
        <c:axId val="143791616"/>
      </c:scatterChart>
      <c:valAx>
        <c:axId val="136232320"/>
        <c:scaling>
          <c:orientation val="minMax"/>
          <c:min val="77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Модельные значения средней  удельной цены (оценки  удельной стоимости)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43791616"/>
        <c:crosses val="autoZero"/>
        <c:crossBetween val="midCat"/>
      </c:valAx>
      <c:valAx>
        <c:axId val="14379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36232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нормальной вероятности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F-6243-ADD6-4B4F10E2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20672"/>
        <c:axId val="143835136"/>
      </c:scatterChart>
      <c:valAx>
        <c:axId val="1438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Медианы порядковых статистик стандартного нормального распределения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835136"/>
        <c:crossesAt val="-10000"/>
        <c:crossBetween val="midCat"/>
      </c:valAx>
      <c:valAx>
        <c:axId val="14383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Эмпирические порядковые статистики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820672"/>
        <c:crossesAt val="-2.5"/>
        <c:crossBetween val="midCat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нормального распределения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'ВПР и Поиск решения'!$EC$188:$EC$276</c:f>
              <c:numCache>
                <c:formatCode>0.0</c:formatCode>
                <c:ptCount val="89"/>
              </c:numCache>
            </c:numRef>
          </c:xVal>
          <c:yVal>
            <c:numRef>
              <c:f>'ВПР и Поиск решения'!$ED$188:$ED$276</c:f>
              <c:numCache>
                <c:formatCode>0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20-4C40-8868-E23CEF31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59264"/>
        <c:axId val="148061184"/>
      </c:scatterChart>
      <c:valAx>
        <c:axId val="14805926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Персентиль выборки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48061184"/>
        <c:crosses val="autoZero"/>
        <c:crossBetween val="midCat"/>
        <c:majorUnit val="10"/>
      </c:valAx>
      <c:valAx>
        <c:axId val="148061184"/>
        <c:scaling>
          <c:orientation val="minMax"/>
          <c:min val="7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805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8-D249-BE73-1AEA6389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01760"/>
        <c:axId val="148103552"/>
      </c:scatterChart>
      <c:valAx>
        <c:axId val="148101760"/>
        <c:scaling>
          <c:orientation val="minMax"/>
          <c:max val="1"/>
        </c:scaling>
        <c:delete val="0"/>
        <c:axPos val="b"/>
        <c:numFmt formatCode="0.0%" sourceLinked="1"/>
        <c:majorTickMark val="out"/>
        <c:minorTickMark val="none"/>
        <c:tickLblPos val="nextTo"/>
        <c:crossAx val="148103552"/>
        <c:crosses val="autoZero"/>
        <c:crossBetween val="midCat"/>
      </c:valAx>
      <c:valAx>
        <c:axId val="14810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01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До метро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'ВПР и Поиск решения'!$N$165:$N$177</c:f>
              <c:numCache>
                <c:formatCode>0</c:formatCode>
                <c:ptCount val="13"/>
                <c:pt idx="0" formatCode="General">
                  <c:v>80</c:v>
                </c:pt>
                <c:pt idx="1">
                  <c:v>190</c:v>
                </c:pt>
                <c:pt idx="2">
                  <c:v>380</c:v>
                </c:pt>
                <c:pt idx="3">
                  <c:v>440</c:v>
                </c:pt>
                <c:pt idx="4">
                  <c:v>490</c:v>
                </c:pt>
                <c:pt idx="5">
                  <c:v>550</c:v>
                </c:pt>
                <c:pt idx="6">
                  <c:v>600</c:v>
                </c:pt>
                <c:pt idx="7">
                  <c:v>710</c:v>
                </c:pt>
                <c:pt idx="8">
                  <c:v>930</c:v>
                </c:pt>
                <c:pt idx="9">
                  <c:v>1180</c:v>
                </c:pt>
                <c:pt idx="10">
                  <c:v>1200</c:v>
                </c:pt>
                <c:pt idx="11">
                  <c:v>1500</c:v>
                </c:pt>
                <c:pt idx="12">
                  <c:v>1700</c:v>
                </c:pt>
              </c:numCache>
            </c:numRef>
          </c:xVal>
          <c:yVal>
            <c:numRef>
              <c:f>'ВПР и Поиск решения'!$O$165:$O$177</c:f>
              <c:numCache>
                <c:formatCode>0</c:formatCode>
                <c:ptCount val="13"/>
                <c:pt idx="0">
                  <c:v>80</c:v>
                </c:pt>
                <c:pt idx="1">
                  <c:v>79.999999999985775</c:v>
                </c:pt>
                <c:pt idx="2">
                  <c:v>79.999999999985775</c:v>
                </c:pt>
                <c:pt idx="3">
                  <c:v>79.999999999985775</c:v>
                </c:pt>
                <c:pt idx="4">
                  <c:v>79.999999999985775</c:v>
                </c:pt>
                <c:pt idx="5">
                  <c:v>79.999999999985775</c:v>
                </c:pt>
                <c:pt idx="6">
                  <c:v>79.999999999985775</c:v>
                </c:pt>
                <c:pt idx="7">
                  <c:v>79.999999999985775</c:v>
                </c:pt>
                <c:pt idx="8">
                  <c:v>79.999999999986187</c:v>
                </c:pt>
                <c:pt idx="9">
                  <c:v>586.07375116091612</c:v>
                </c:pt>
                <c:pt idx="10">
                  <c:v>1494.6249624069917</c:v>
                </c:pt>
                <c:pt idx="11">
                  <c:v>1494.6249624069073</c:v>
                </c:pt>
                <c:pt idx="12">
                  <c:v>2863.7196741958428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1-8F4C-82A3-A790FFE97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70176"/>
        <c:axId val="150371712"/>
      </c:scatterChart>
      <c:valAx>
        <c:axId val="1503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371712"/>
        <c:crosses val="autoZero"/>
        <c:crossBetween val="midCat"/>
      </c:valAx>
      <c:valAx>
        <c:axId val="15037171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50370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Тип дома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14942640078633E-2"/>
          <c:y val="0.12838309398968137"/>
          <c:w val="0.90755527263837621"/>
          <c:h val="0.7951816549247136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'ВПР и Поиск решения'!$Z$197:$Z$200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'ВПР и Поиск решения'!$AA$197:$AA$200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2.2537536924287291</c:v>
                </c:pt>
                <c:pt idx="2">
                  <c:v>3.5810132480699184</c:v>
                </c:pt>
                <c:pt idx="3">
                  <c:v>3.5810132480702883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D-B54E-80D3-3F2B4CDF3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99616"/>
        <c:axId val="150544768"/>
      </c:scatterChart>
      <c:valAx>
        <c:axId val="150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544768"/>
        <c:crosses val="autoZero"/>
        <c:crossBetween val="midCat"/>
        <c:majorUnit val="1"/>
      </c:valAx>
      <c:valAx>
        <c:axId val="1505447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5039961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Общая площадь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0"/>
          </c:trendline>
          <c:xVal>
            <c:numRef>
              <c:f>'ВПР и Поиск решения'!$Z$167:$Z$178</c:f>
              <c:numCache>
                <c:formatCode>0.0</c:formatCode>
                <c:ptCount val="12"/>
                <c:pt idx="0">
                  <c:v>51.7</c:v>
                </c:pt>
                <c:pt idx="1">
                  <c:v>52</c:v>
                </c:pt>
                <c:pt idx="2">
                  <c:v>52.5</c:v>
                </c:pt>
                <c:pt idx="3" formatCode="General">
                  <c:v>52.7</c:v>
                </c:pt>
                <c:pt idx="4">
                  <c:v>56</c:v>
                </c:pt>
                <c:pt idx="5" formatCode="General">
                  <c:v>56.4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62</c:v>
                </c:pt>
                <c:pt idx="10">
                  <c:v>63</c:v>
                </c:pt>
                <c:pt idx="11">
                  <c:v>65</c:v>
                </c:pt>
              </c:numCache>
            </c:numRef>
          </c:xVal>
          <c:yVal>
            <c:numRef>
              <c:f>'ВПР и Поиск решения'!$AA$167:$AA$178</c:f>
              <c:numCache>
                <c:formatCode>0.0</c:formatCode>
                <c:ptCount val="12"/>
                <c:pt idx="0">
                  <c:v>51.7</c:v>
                </c:pt>
                <c:pt idx="1">
                  <c:v>54.531298692732555</c:v>
                </c:pt>
                <c:pt idx="2">
                  <c:v>55.489106282014475</c:v>
                </c:pt>
                <c:pt idx="3">
                  <c:v>55.489106282014475</c:v>
                </c:pt>
                <c:pt idx="4">
                  <c:v>55.489106282031344</c:v>
                </c:pt>
                <c:pt idx="5">
                  <c:v>60.141258271217978</c:v>
                </c:pt>
                <c:pt idx="6">
                  <c:v>60.141258271236104</c:v>
                </c:pt>
                <c:pt idx="7">
                  <c:v>60.378888033491322</c:v>
                </c:pt>
                <c:pt idx="8">
                  <c:v>60.378888033491322</c:v>
                </c:pt>
                <c:pt idx="9">
                  <c:v>60.378888033491322</c:v>
                </c:pt>
                <c:pt idx="10">
                  <c:v>60.378888033491322</c:v>
                </c:pt>
                <c:pt idx="11">
                  <c:v>60.378888033496501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21-5B41-83E3-26E9B4CAB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65248"/>
        <c:axId val="150566784"/>
      </c:scatterChart>
      <c:valAx>
        <c:axId val="150565248"/>
        <c:scaling>
          <c:orientation val="minMax"/>
          <c:min val="50"/>
        </c:scaling>
        <c:delete val="0"/>
        <c:axPos val="b"/>
        <c:numFmt formatCode="0" sourceLinked="0"/>
        <c:majorTickMark val="none"/>
        <c:minorTickMark val="none"/>
        <c:tickLblPos val="nextTo"/>
        <c:crossAx val="150566784"/>
        <c:crosses val="autoZero"/>
        <c:crossBetween val="midCat"/>
      </c:valAx>
      <c:valAx>
        <c:axId val="150566784"/>
        <c:scaling>
          <c:orientation val="minMax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50565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'ВПР и Поиск решения'!$AE$112:$AE$114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'ВПР и Поиск решения'!$AF$112:$AF$114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1-F04F-8BB7-0E054617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20576"/>
        <c:axId val="136167808"/>
      </c:scatterChart>
      <c:valAx>
        <c:axId val="13612057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 значения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167808"/>
        <c:crosses val="autoZero"/>
        <c:crossBetween val="midCat"/>
        <c:majorUnit val="1"/>
      </c:valAx>
      <c:valAx>
        <c:axId val="13616780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12057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Площадь кухни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'ВПР и Поиск решения'!$AL$199:$AL$210</c:f>
              <c:numCache>
                <c:formatCode>0.0</c:formatCode>
                <c:ptCount val="12"/>
                <c:pt idx="0">
                  <c:v>7.4</c:v>
                </c:pt>
                <c:pt idx="1">
                  <c:v>7.8</c:v>
                </c:pt>
                <c:pt idx="2">
                  <c:v>7.9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10.1</c:v>
                </c:pt>
                <c:pt idx="7">
                  <c:v>10.5</c:v>
                </c:pt>
                <c:pt idx="8">
                  <c:v>10.7</c:v>
                </c:pt>
                <c:pt idx="9">
                  <c:v>11.5</c:v>
                </c:pt>
                <c:pt idx="10">
                  <c:v>12.7</c:v>
                </c:pt>
                <c:pt idx="11">
                  <c:v>13</c:v>
                </c:pt>
              </c:numCache>
            </c:numRef>
          </c:xVal>
          <c:yVal>
            <c:numRef>
              <c:f>'ВПР и Поиск решения'!$AM$199:$AM$210</c:f>
              <c:numCache>
                <c:formatCode>0.0</c:formatCode>
                <c:ptCount val="12"/>
                <c:pt idx="0">
                  <c:v>7.4</c:v>
                </c:pt>
                <c:pt idx="1">
                  <c:v>7.399999999998613</c:v>
                </c:pt>
                <c:pt idx="2">
                  <c:v>7.399999999998613</c:v>
                </c:pt>
                <c:pt idx="3">
                  <c:v>7.399999999998613</c:v>
                </c:pt>
                <c:pt idx="4">
                  <c:v>7.399999999998613</c:v>
                </c:pt>
                <c:pt idx="5">
                  <c:v>10.803550153744604</c:v>
                </c:pt>
                <c:pt idx="6">
                  <c:v>10.803550153744604</c:v>
                </c:pt>
                <c:pt idx="7">
                  <c:v>10.803550153744604</c:v>
                </c:pt>
                <c:pt idx="8">
                  <c:v>10.803550153744604</c:v>
                </c:pt>
                <c:pt idx="9">
                  <c:v>10.803550153742743</c:v>
                </c:pt>
                <c:pt idx="10">
                  <c:v>11.2507800328501</c:v>
                </c:pt>
                <c:pt idx="11">
                  <c:v>14.500657910079383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2-A645-9BC0-C2DD92839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74976"/>
        <c:axId val="150475904"/>
      </c:scatterChart>
      <c:valAx>
        <c:axId val="136174976"/>
        <c:scaling>
          <c:orientation val="minMax"/>
          <c:min val="7"/>
        </c:scaling>
        <c:delete val="0"/>
        <c:axPos val="b"/>
        <c:numFmt formatCode="0" sourceLinked="0"/>
        <c:majorTickMark val="none"/>
        <c:minorTickMark val="none"/>
        <c:tickLblPos val="nextTo"/>
        <c:crossAx val="150475904"/>
        <c:crosses val="autoZero"/>
        <c:crossBetween val="midCat"/>
      </c:valAx>
      <c:valAx>
        <c:axId val="150475904"/>
        <c:scaling>
          <c:orientation val="minMax"/>
          <c:min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361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нормальной вероятности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B-2F41-9BAA-BDE38C8C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20960"/>
        <c:axId val="150522880"/>
      </c:scatterChart>
      <c:valAx>
        <c:axId val="1505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Медианы порядковых статистик стандартного нормального распределения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0522880"/>
        <c:crossesAt val="-10000"/>
        <c:crossBetween val="midCat"/>
      </c:valAx>
      <c:valAx>
        <c:axId val="1505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Эмпирические порядковые статистики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0520960"/>
        <c:crossesAt val="-2.5"/>
        <c:crossBetween val="midCat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2-794D-9B8B-2C529496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35168"/>
        <c:axId val="150422272"/>
      </c:scatterChart>
      <c:valAx>
        <c:axId val="150535168"/>
        <c:scaling>
          <c:orientation val="minMax"/>
          <c:max val="1"/>
        </c:scaling>
        <c:delete val="0"/>
        <c:axPos val="b"/>
        <c:numFmt formatCode="0.0%" sourceLinked="1"/>
        <c:majorTickMark val="out"/>
        <c:minorTickMark val="none"/>
        <c:tickLblPos val="nextTo"/>
        <c:crossAx val="150422272"/>
        <c:crosses val="autoZero"/>
        <c:crossBetween val="midCat"/>
      </c:valAx>
      <c:valAx>
        <c:axId val="1504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535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До метро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'ВПР и Поиск решения'!$N$222:$N$234</c:f>
              <c:numCache>
                <c:formatCode>0</c:formatCode>
                <c:ptCount val="13"/>
                <c:pt idx="0" formatCode="General">
                  <c:v>80</c:v>
                </c:pt>
                <c:pt idx="1">
                  <c:v>190</c:v>
                </c:pt>
                <c:pt idx="2">
                  <c:v>380</c:v>
                </c:pt>
                <c:pt idx="3">
                  <c:v>440</c:v>
                </c:pt>
                <c:pt idx="4">
                  <c:v>490</c:v>
                </c:pt>
                <c:pt idx="5">
                  <c:v>550</c:v>
                </c:pt>
                <c:pt idx="6">
                  <c:v>600</c:v>
                </c:pt>
                <c:pt idx="7">
                  <c:v>710</c:v>
                </c:pt>
                <c:pt idx="8">
                  <c:v>930</c:v>
                </c:pt>
                <c:pt idx="9">
                  <c:v>1180</c:v>
                </c:pt>
                <c:pt idx="10">
                  <c:v>1200</c:v>
                </c:pt>
                <c:pt idx="11">
                  <c:v>1500</c:v>
                </c:pt>
                <c:pt idx="12">
                  <c:v>1700</c:v>
                </c:pt>
              </c:numCache>
            </c:numRef>
          </c:xVal>
          <c:yVal>
            <c:numRef>
              <c:f>'ВПР и Поиск решения'!$O$222:$O$234</c:f>
              <c:numCache>
                <c:formatCode>0</c:formatCode>
                <c:ptCount val="13"/>
                <c:pt idx="0">
                  <c:v>80</c:v>
                </c:pt>
                <c:pt idx="1">
                  <c:v>79.999999999985775</c:v>
                </c:pt>
                <c:pt idx="2">
                  <c:v>79.999999999985775</c:v>
                </c:pt>
                <c:pt idx="3">
                  <c:v>79.999999999985775</c:v>
                </c:pt>
                <c:pt idx="4">
                  <c:v>79.999999999985775</c:v>
                </c:pt>
                <c:pt idx="5">
                  <c:v>79.999999999985775</c:v>
                </c:pt>
                <c:pt idx="6">
                  <c:v>79.999999999985775</c:v>
                </c:pt>
                <c:pt idx="7">
                  <c:v>79.999999999985775</c:v>
                </c:pt>
                <c:pt idx="8">
                  <c:v>250</c:v>
                </c:pt>
                <c:pt idx="9">
                  <c:v>586.07375116091612</c:v>
                </c:pt>
                <c:pt idx="10">
                  <c:v>670</c:v>
                </c:pt>
                <c:pt idx="11">
                  <c:v>1494.6249624069073</c:v>
                </c:pt>
                <c:pt idx="12">
                  <c:v>2863.7196741958428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30-1F4E-B070-0482BB88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8752"/>
        <c:axId val="150460672"/>
      </c:scatterChart>
      <c:valAx>
        <c:axId val="15045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Исходные значения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0460672"/>
        <c:crosses val="autoZero"/>
        <c:crossBetween val="midCat"/>
      </c:valAx>
      <c:valAx>
        <c:axId val="15046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Преобразованные значения</a:t>
                </a:r>
              </a:p>
            </c:rich>
          </c:tx>
          <c:layout>
            <c:manualLayout>
              <c:xMode val="edge"/>
              <c:yMode val="edge"/>
              <c:x val="2.2958662556470184E-2"/>
              <c:y val="0.190707997665244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045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Тип дома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14942640078633E-2"/>
          <c:y val="0.12838309398968137"/>
          <c:w val="0.90755527263837665"/>
          <c:h val="0.7951816549247136"/>
        </c:manualLayout>
      </c:layout>
      <c:scatterChart>
        <c:scatterStyle val="lineMarker"/>
        <c:varyColors val="0"/>
        <c:ser>
          <c:idx val="0"/>
          <c:order val="0"/>
          <c:xVal>
            <c:numRef>
              <c:f>'ВПР и Поиск решения'!$N$245:$N$248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'ВПР и Поиск решения'!$O$245:$O$248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2.2537536924287291</c:v>
                </c:pt>
                <c:pt idx="2">
                  <c:v>3.5810132480699184</c:v>
                </c:pt>
                <c:pt idx="3">
                  <c:v>3.5810132480702883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8-3F4A-BA0F-39EBD242A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07744"/>
        <c:axId val="150609280"/>
      </c:scatterChart>
      <c:valAx>
        <c:axId val="1506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609280"/>
        <c:crosses val="autoZero"/>
        <c:crossBetween val="midCat"/>
        <c:majorUnit val="1"/>
      </c:valAx>
      <c:valAx>
        <c:axId val="15060928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506077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Общая площадь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0"/>
          </c:trendline>
          <c:xVal>
            <c:numRef>
              <c:f>'ВПР и Поиск решения'!$Z$223:$Z$234</c:f>
              <c:numCache>
                <c:formatCode>0.0</c:formatCode>
                <c:ptCount val="12"/>
                <c:pt idx="0">
                  <c:v>51.7</c:v>
                </c:pt>
                <c:pt idx="1">
                  <c:v>52</c:v>
                </c:pt>
                <c:pt idx="2">
                  <c:v>52.5</c:v>
                </c:pt>
                <c:pt idx="3" formatCode="General">
                  <c:v>52.7</c:v>
                </c:pt>
                <c:pt idx="4">
                  <c:v>56</c:v>
                </c:pt>
                <c:pt idx="5" formatCode="General">
                  <c:v>56.4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62</c:v>
                </c:pt>
                <c:pt idx="10">
                  <c:v>63</c:v>
                </c:pt>
                <c:pt idx="11">
                  <c:v>65</c:v>
                </c:pt>
              </c:numCache>
            </c:numRef>
          </c:xVal>
          <c:yVal>
            <c:numRef>
              <c:f>'ВПР и Поиск решения'!$AA$223:$AA$234</c:f>
              <c:numCache>
                <c:formatCode>0.0</c:formatCode>
                <c:ptCount val="12"/>
                <c:pt idx="0">
                  <c:v>51.7</c:v>
                </c:pt>
                <c:pt idx="1">
                  <c:v>53.3</c:v>
                </c:pt>
                <c:pt idx="2">
                  <c:v>55</c:v>
                </c:pt>
                <c:pt idx="3">
                  <c:v>55.489106282014475</c:v>
                </c:pt>
                <c:pt idx="4">
                  <c:v>59.5</c:v>
                </c:pt>
                <c:pt idx="5">
                  <c:v>59.9</c:v>
                </c:pt>
                <c:pt idx="6">
                  <c:v>60.3</c:v>
                </c:pt>
                <c:pt idx="7">
                  <c:v>60.378888033491322</c:v>
                </c:pt>
                <c:pt idx="8">
                  <c:v>60.378888033491322</c:v>
                </c:pt>
                <c:pt idx="9">
                  <c:v>60.378888033491322</c:v>
                </c:pt>
                <c:pt idx="10">
                  <c:v>60.378888033491322</c:v>
                </c:pt>
                <c:pt idx="11">
                  <c:v>60.378888033496501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C-5949-8700-A915D719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46144"/>
        <c:axId val="150656128"/>
      </c:scatterChart>
      <c:valAx>
        <c:axId val="150646144"/>
        <c:scaling>
          <c:orientation val="minMax"/>
          <c:min val="50"/>
        </c:scaling>
        <c:delete val="0"/>
        <c:axPos val="b"/>
        <c:numFmt formatCode="0" sourceLinked="0"/>
        <c:majorTickMark val="none"/>
        <c:minorTickMark val="none"/>
        <c:tickLblPos val="nextTo"/>
        <c:crossAx val="150656128"/>
        <c:crosses val="autoZero"/>
        <c:crossBetween val="midCat"/>
      </c:valAx>
      <c:valAx>
        <c:axId val="150656128"/>
        <c:scaling>
          <c:orientation val="minMax"/>
          <c:min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50646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Площадь кухни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'ВПР и Поиск решения'!$Z$245:$Z$256</c:f>
              <c:numCache>
                <c:formatCode>0.0</c:formatCode>
                <c:ptCount val="12"/>
                <c:pt idx="0">
                  <c:v>7.4</c:v>
                </c:pt>
                <c:pt idx="1">
                  <c:v>7.8</c:v>
                </c:pt>
                <c:pt idx="2">
                  <c:v>7.9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10.1</c:v>
                </c:pt>
                <c:pt idx="7">
                  <c:v>10.5</c:v>
                </c:pt>
                <c:pt idx="8">
                  <c:v>10.7</c:v>
                </c:pt>
                <c:pt idx="9">
                  <c:v>11.5</c:v>
                </c:pt>
                <c:pt idx="10">
                  <c:v>12.7</c:v>
                </c:pt>
                <c:pt idx="11">
                  <c:v>13</c:v>
                </c:pt>
              </c:numCache>
            </c:numRef>
          </c:xVal>
          <c:yVal>
            <c:numRef>
              <c:f>'ВПР и Поиск решения'!$AA$245:$AA$256</c:f>
              <c:numCache>
                <c:formatCode>0.0</c:formatCode>
                <c:ptCount val="12"/>
                <c:pt idx="0">
                  <c:v>7.4</c:v>
                </c:pt>
                <c:pt idx="1">
                  <c:v>7.399999999998613</c:v>
                </c:pt>
                <c:pt idx="2">
                  <c:v>7.399999999998613</c:v>
                </c:pt>
                <c:pt idx="3">
                  <c:v>7.399999999998613</c:v>
                </c:pt>
                <c:pt idx="4">
                  <c:v>7.399999999998613</c:v>
                </c:pt>
                <c:pt idx="5">
                  <c:v>10.803550153744604</c:v>
                </c:pt>
                <c:pt idx="6">
                  <c:v>10.803550153744604</c:v>
                </c:pt>
                <c:pt idx="7">
                  <c:v>10.803550153744604</c:v>
                </c:pt>
                <c:pt idx="8">
                  <c:v>10.803550153744604</c:v>
                </c:pt>
                <c:pt idx="9">
                  <c:v>10.803550153742743</c:v>
                </c:pt>
                <c:pt idx="10">
                  <c:v>14.5</c:v>
                </c:pt>
                <c:pt idx="11">
                  <c:v>14.500657910079383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29-CD40-9AC6-C16A96D69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04512"/>
        <c:axId val="150706048"/>
      </c:scatterChart>
      <c:valAx>
        <c:axId val="150704512"/>
        <c:scaling>
          <c:orientation val="minMax"/>
          <c:min val="7"/>
        </c:scaling>
        <c:delete val="0"/>
        <c:axPos val="b"/>
        <c:numFmt formatCode="0" sourceLinked="0"/>
        <c:majorTickMark val="none"/>
        <c:minorTickMark val="none"/>
        <c:tickLblPos val="nextTo"/>
        <c:crossAx val="150706048"/>
        <c:crosses val="autoZero"/>
        <c:crossBetween val="midCat"/>
      </c:valAx>
      <c:valAx>
        <c:axId val="150706048"/>
        <c:scaling>
          <c:orientation val="minMax"/>
          <c:min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50704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image" Target="../media/image1.jpeg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252299</xdr:colOff>
      <xdr:row>109</xdr:row>
      <xdr:rowOff>21695</xdr:rowOff>
    </xdr:from>
    <xdr:to>
      <xdr:col>27</xdr:col>
      <xdr:colOff>244739</xdr:colOff>
      <xdr:row>124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171187</xdr:colOff>
      <xdr:row>128</xdr:row>
      <xdr:rowOff>29370</xdr:rowOff>
    </xdr:from>
    <xdr:to>
      <xdr:col>40</xdr:col>
      <xdr:colOff>592668</xdr:colOff>
      <xdr:row>145</xdr:row>
      <xdr:rowOff>437886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141553</xdr:colOff>
      <xdr:row>107</xdr:row>
      <xdr:rowOff>178859</xdr:rowOff>
    </xdr:from>
    <xdr:to>
      <xdr:col>53</xdr:col>
      <xdr:colOff>603250</xdr:colOff>
      <xdr:row>123</xdr:row>
      <xdr:rowOff>158750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125</xdr:col>
      <xdr:colOff>9525</xdr:colOff>
      <xdr:row>109</xdr:row>
      <xdr:rowOff>9525</xdr:rowOff>
    </xdr:from>
    <xdr:to>
      <xdr:col>133</xdr:col>
      <xdr:colOff>571500</xdr:colOff>
      <xdr:row>127</xdr:row>
      <xdr:rowOff>171450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106098</xdr:colOff>
      <xdr:row>128</xdr:row>
      <xdr:rowOff>265</xdr:rowOff>
    </xdr:from>
    <xdr:to>
      <xdr:col>53</xdr:col>
      <xdr:colOff>456406</xdr:colOff>
      <xdr:row>145</xdr:row>
      <xdr:rowOff>455082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157740</xdr:colOff>
      <xdr:row>265</xdr:row>
      <xdr:rowOff>158558</xdr:rowOff>
    </xdr:from>
    <xdr:to>
      <xdr:col>10</xdr:col>
      <xdr:colOff>202406</xdr:colOff>
      <xdr:row>282</xdr:row>
      <xdr:rowOff>50511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121</xdr:col>
      <xdr:colOff>185736</xdr:colOff>
      <xdr:row>166</xdr:row>
      <xdr:rowOff>21431</xdr:rowOff>
    </xdr:from>
    <xdr:to>
      <xdr:col>131</xdr:col>
      <xdr:colOff>273843</xdr:colOff>
      <xdr:row>182</xdr:row>
      <xdr:rowOff>95250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121</xdr:col>
      <xdr:colOff>138114</xdr:colOff>
      <xdr:row>194</xdr:row>
      <xdr:rowOff>11907</xdr:rowOff>
    </xdr:from>
    <xdr:to>
      <xdr:col>131</xdr:col>
      <xdr:colOff>309562</xdr:colOff>
      <xdr:row>273</xdr:row>
      <xdr:rowOff>47625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121</xdr:col>
      <xdr:colOff>157161</xdr:colOff>
      <xdr:row>183</xdr:row>
      <xdr:rowOff>0</xdr:rowOff>
    </xdr:from>
    <xdr:to>
      <xdr:col>131</xdr:col>
      <xdr:colOff>285750</xdr:colOff>
      <xdr:row>192</xdr:row>
      <xdr:rowOff>190499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688182</xdr:colOff>
      <xdr:row>0</xdr:row>
      <xdr:rowOff>12966</xdr:rowOff>
    </xdr:from>
    <xdr:to>
      <xdr:col>24</xdr:col>
      <xdr:colOff>304917</xdr:colOff>
      <xdr:row>23</xdr:row>
      <xdr:rowOff>0</xdr:rowOff>
    </xdr:to>
    <xdr:pic>
      <xdr:nvPicPr>
        <xdr:cNvPr id="11" name="Рисунок 10" descr="Тележная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018015" y="12966"/>
          <a:ext cx="6358320" cy="4622534"/>
        </a:xfrm>
        <a:prstGeom prst="rect">
          <a:avLst/>
        </a:prstGeom>
      </xdr:spPr>
    </xdr:pic>
    <xdr:clientData/>
  </xdr:twoCellAnchor>
  <xdr:twoCellAnchor>
    <xdr:from>
      <xdr:col>15</xdr:col>
      <xdr:colOff>898073</xdr:colOff>
      <xdr:row>94</xdr:row>
      <xdr:rowOff>163285</xdr:rowOff>
    </xdr:from>
    <xdr:to>
      <xdr:col>17</xdr:col>
      <xdr:colOff>802822</xdr:colOff>
      <xdr:row>105</xdr:row>
      <xdr:rowOff>54429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242723" y="19175185"/>
          <a:ext cx="2057399" cy="2215244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ru-RU" sz="2800" b="1">
              <a:solidFill>
                <a:srgbClr val="FFFF00"/>
              </a:solidFill>
            </a:rPr>
            <a:t>1. </a:t>
          </a:r>
          <a:r>
            <a:rPr lang="ru-RU" sz="1400" b="1">
              <a:solidFill>
                <a:schemeClr val="bg1"/>
              </a:solidFill>
            </a:rPr>
            <a:t>В</a:t>
          </a:r>
          <a:r>
            <a:rPr lang="ru-RU" sz="1400" b="1" baseline="0">
              <a:solidFill>
                <a:schemeClr val="bg1"/>
              </a:solidFill>
            </a:rPr>
            <a:t> первый столбец копируем исходный столбец переменных  (Е29</a:t>
          </a:r>
          <a:r>
            <a:rPr lang="en-US" sz="1400" b="1" baseline="0">
              <a:solidFill>
                <a:schemeClr val="bg1"/>
              </a:solidFill>
            </a:rPr>
            <a:t>:</a:t>
          </a:r>
          <a:r>
            <a:rPr lang="ru-RU" sz="1400" b="1" baseline="0">
              <a:solidFill>
                <a:schemeClr val="bg1"/>
              </a:solidFill>
            </a:rPr>
            <a:t>Е42)</a:t>
          </a:r>
        </a:p>
        <a:p>
          <a:r>
            <a:rPr lang="ru-RU" sz="14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не нарушая порядок! </a:t>
          </a:r>
          <a:endParaRPr lang="ru-RU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421841</xdr:colOff>
      <xdr:row>101</xdr:row>
      <xdr:rowOff>319768</xdr:rowOff>
    </xdr:from>
    <xdr:to>
      <xdr:col>15</xdr:col>
      <xdr:colOff>898074</xdr:colOff>
      <xdr:row>108</xdr:row>
      <xdr:rowOff>190497</xdr:rowOff>
    </xdr:to>
    <xdr:cxnSp macro="">
      <xdr:nvCxnSpPr>
        <xdr:cNvPr id="13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1"/>
        </xdr:cNvCxnSpPr>
      </xdr:nvCxnSpPr>
      <xdr:spPr>
        <a:xfrm rot="10800000" flipV="1">
          <a:off x="14766491" y="20665168"/>
          <a:ext cx="476233" cy="1432829"/>
        </a:xfrm>
        <a:prstGeom prst="bentConnector2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570555</xdr:colOff>
      <xdr:row>128</xdr:row>
      <xdr:rowOff>157426</xdr:rowOff>
    </xdr:from>
    <xdr:to>
      <xdr:col>17</xdr:col>
      <xdr:colOff>949856</xdr:colOff>
      <xdr:row>137</xdr:row>
      <xdr:rowOff>62176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286555" y="25970176"/>
          <a:ext cx="2898134" cy="161925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2800" b="1">
              <a:solidFill>
                <a:srgbClr val="FFFF00"/>
              </a:solidFill>
              <a:latin typeface="+mn-lt"/>
              <a:ea typeface="+mn-ea"/>
              <a:cs typeface="+mn-cs"/>
            </a:rPr>
            <a:t>2.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Во второй столбец вставляем отсортированные значения первого, без повторяющихся значений:  "Данные":   2а) Сортировка, </a:t>
          </a:r>
        </a:p>
        <a:p>
          <a:pPr algn="l"/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 2б) Удалить дубликаты</a:t>
          </a:r>
        </a:p>
      </xdr:txBody>
    </xdr:sp>
    <xdr:clientData/>
  </xdr:twoCellAnchor>
  <xdr:twoCellAnchor>
    <xdr:from>
      <xdr:col>16</xdr:col>
      <xdr:colOff>670908</xdr:colOff>
      <xdr:row>124</xdr:row>
      <xdr:rowOff>42335</xdr:rowOff>
    </xdr:from>
    <xdr:to>
      <xdr:col>16</xdr:col>
      <xdr:colOff>674875</xdr:colOff>
      <xdr:row>128</xdr:row>
      <xdr:rowOff>157427</xdr:rowOff>
    </xdr:to>
    <xdr:cxnSp macro="">
      <xdr:nvCxnSpPr>
        <xdr:cNvPr id="15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4" idx="0"/>
          <a:endCxn id="23" idx="2"/>
        </xdr:cNvCxnSpPr>
      </xdr:nvCxnSpPr>
      <xdr:spPr>
        <a:xfrm rot="5400000" flipH="1" flipV="1">
          <a:off x="15319565" y="25565366"/>
          <a:ext cx="877092" cy="396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229622</xdr:colOff>
      <xdr:row>94</xdr:row>
      <xdr:rowOff>21166</xdr:rowOff>
    </xdr:from>
    <xdr:to>
      <xdr:col>25</xdr:col>
      <xdr:colOff>250032</xdr:colOff>
      <xdr:row>105</xdr:row>
      <xdr:rowOff>119063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403322" y="19033066"/>
          <a:ext cx="3706585" cy="2421997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3.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В третьем столбце находятся преобразованные значения фактора, полученные после применения "Поиска решения".</a:t>
          </a:r>
          <a:endParaRPr lang="en-US" sz="14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До запуска процедуры в третий столбец нужно скопировать значения второго. </a:t>
          </a:r>
        </a:p>
        <a:p>
          <a:pPr marL="0" indent="0" algn="l"/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Именно этот столбец нужно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указывать в качестве столбца переменных в "Поиске решения".</a:t>
          </a:r>
          <a:endParaRPr lang="ru-RU" sz="14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857250</xdr:colOff>
      <xdr:row>100</xdr:row>
      <xdr:rowOff>91281</xdr:rowOff>
    </xdr:from>
    <xdr:to>
      <xdr:col>19</xdr:col>
      <xdr:colOff>229622</xdr:colOff>
      <xdr:row>109</xdr:row>
      <xdr:rowOff>21167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1"/>
        </xdr:cNvCxnSpPr>
      </xdr:nvCxnSpPr>
      <xdr:spPr>
        <a:xfrm flipH="1">
          <a:off x="17354550" y="20246181"/>
          <a:ext cx="1048772" cy="1872986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157236</xdr:colOff>
      <xdr:row>125</xdr:row>
      <xdr:rowOff>58963</xdr:rowOff>
    </xdr:from>
    <xdr:to>
      <xdr:col>27</xdr:col>
      <xdr:colOff>222250</xdr:colOff>
      <xdr:row>140</xdr:row>
      <xdr:rowOff>31749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074819" y="25300213"/>
          <a:ext cx="4996848" cy="2830286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4. </a:t>
          </a:r>
          <a:r>
            <a:rPr lang="ru-RU" sz="1400" b="1">
              <a:solidFill>
                <a:schemeClr val="lt1"/>
              </a:solidFill>
              <a:latin typeface="+mn-lt"/>
              <a:ea typeface="+mn-ea"/>
              <a:cs typeface="+mn-cs"/>
            </a:rPr>
            <a:t>Четвертый столбец </a:t>
          </a:r>
          <a:r>
            <a:rPr lang="ru-RU" sz="1100" b="1">
              <a:solidFill>
                <a:schemeClr val="lt1"/>
              </a:solidFill>
              <a:latin typeface="+mn-lt"/>
              <a:ea typeface="+mn-ea"/>
              <a:cs typeface="+mn-cs"/>
            </a:rPr>
            <a:t>- </a:t>
          </a:r>
          <a:r>
            <a:rPr lang="ru-RU" sz="1400" b="1">
              <a:solidFill>
                <a:schemeClr val="lt1"/>
              </a:solidFill>
              <a:latin typeface="+mn-lt"/>
              <a:ea typeface="+mn-ea"/>
              <a:cs typeface="+mn-cs"/>
            </a:rPr>
            <a:t>это </a:t>
          </a:r>
          <a:r>
            <a:rPr lang="ru-RU" sz="1100" b="1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ru-RU" sz="1400" b="1">
              <a:solidFill>
                <a:schemeClr val="lt1"/>
              </a:solidFill>
              <a:latin typeface="+mn-lt"/>
              <a:ea typeface="+mn-ea"/>
              <a:cs typeface="+mn-cs"/>
            </a:rPr>
            <a:t>связанный с третьим столбцом,</a:t>
          </a:r>
          <a:r>
            <a:rPr lang="ru-RU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сдвинутый на одну строчку вверх. </a:t>
          </a:r>
        </a:p>
        <a:p>
          <a:pPr algn="l"/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Такое определение четвертого столбца нужно для  быстрого задания ограничения на преобразованные переменные, обеспечивающего их монотонность. </a:t>
          </a:r>
        </a:p>
        <a:p>
          <a:pPr algn="l"/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Для этого при вызове "Поиска решения" необходимо задать ограничение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  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R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112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:R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123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&lt; 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S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112</a:t>
          </a:r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:S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123</a:t>
          </a:r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.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endParaRPr lang="ru-RU" sz="14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l"/>
          <a:endParaRPr lang="ru-RU" sz="14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l"/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При необходимости  (для удобства) можно также  указать минимальное значение для преобразовнных переменных, внеся дополнитьльно ограничение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R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112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=Q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112</a:t>
          </a:r>
          <a:endParaRPr lang="ru-RU" sz="14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390828</xdr:colOff>
      <xdr:row>123</xdr:row>
      <xdr:rowOff>42333</xdr:rowOff>
    </xdr:from>
    <xdr:to>
      <xdr:col>19</xdr:col>
      <xdr:colOff>157236</xdr:colOff>
      <xdr:row>132</xdr:row>
      <xdr:rowOff>140606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  <a:endCxn id="25" idx="2"/>
        </xdr:cNvCxnSpPr>
      </xdr:nvCxnSpPr>
      <xdr:spPr>
        <a:xfrm flipH="1" flipV="1">
          <a:off x="17694578" y="24902583"/>
          <a:ext cx="380241" cy="181277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641236</xdr:colOff>
      <xdr:row>130</xdr:row>
      <xdr:rowOff>3781</xdr:rowOff>
    </xdr:from>
    <xdr:to>
      <xdr:col>12</xdr:col>
      <xdr:colOff>893723</xdr:colOff>
      <xdr:row>134</xdr:row>
      <xdr:rowOff>83722</xdr:rowOff>
    </xdr:to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89711" y="26511856"/>
          <a:ext cx="5338837" cy="841941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5.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Используем функцию ВПР() для задания значений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столбца, участвующего в построении модели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279514</xdr:colOff>
      <xdr:row>125</xdr:row>
      <xdr:rowOff>42333</xdr:rowOff>
    </xdr:from>
    <xdr:to>
      <xdr:col>6</xdr:col>
      <xdr:colOff>641236</xdr:colOff>
      <xdr:row>132</xdr:row>
      <xdr:rowOff>43752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0" idx="1"/>
          <a:endCxn id="22" idx="2"/>
        </xdr:cNvCxnSpPr>
      </xdr:nvCxnSpPr>
      <xdr:spPr>
        <a:xfrm flipH="1" flipV="1">
          <a:off x="7127989" y="25597908"/>
          <a:ext cx="361722" cy="133491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841942</xdr:colOff>
      <xdr:row>111</xdr:row>
      <xdr:rowOff>22453</xdr:rowOff>
    </xdr:from>
    <xdr:to>
      <xdr:col>7</xdr:col>
      <xdr:colOff>66335</xdr:colOff>
      <xdr:row>125</xdr:row>
      <xdr:rowOff>42333</xdr:rowOff>
    </xdr:to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71242" y="22530028"/>
          <a:ext cx="910318" cy="306788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137584</xdr:colOff>
      <xdr:row>109</xdr:row>
      <xdr:rowOff>22531</xdr:rowOff>
    </xdr:from>
    <xdr:to>
      <xdr:col>17</xdr:col>
      <xdr:colOff>45355</xdr:colOff>
      <xdr:row>124</xdr:row>
      <xdr:rowOff>42334</xdr:rowOff>
    </xdr:to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197667" y="21189198"/>
          <a:ext cx="1082521" cy="35228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45358</xdr:colOff>
      <xdr:row>109</xdr:row>
      <xdr:rowOff>34775</xdr:rowOff>
    </xdr:from>
    <xdr:to>
      <xdr:col>16</xdr:col>
      <xdr:colOff>52918</xdr:colOff>
      <xdr:row>125</xdr:row>
      <xdr:rowOff>42334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4375191" y="21201442"/>
          <a:ext cx="991810" cy="370114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158750</xdr:colOff>
      <xdr:row>111</xdr:row>
      <xdr:rowOff>13608</xdr:rowOff>
    </xdr:from>
    <xdr:to>
      <xdr:col>19</xdr:col>
      <xdr:colOff>9072</xdr:colOff>
      <xdr:row>123</xdr:row>
      <xdr:rowOff>42333</xdr:rowOff>
    </xdr:to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716500" y="22206858"/>
          <a:ext cx="464155" cy="231472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84667</xdr:colOff>
      <xdr:row>109</xdr:row>
      <xdr:rowOff>10583</xdr:rowOff>
    </xdr:from>
    <xdr:to>
      <xdr:col>17</xdr:col>
      <xdr:colOff>1060298</xdr:colOff>
      <xdr:row>124</xdr:row>
      <xdr:rowOff>42333</xdr:rowOff>
    </xdr:to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319500" y="21177250"/>
          <a:ext cx="975631" cy="3534833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16</xdr:col>
      <xdr:colOff>187477</xdr:colOff>
      <xdr:row>161</xdr:row>
      <xdr:rowOff>32278</xdr:rowOff>
    </xdr:from>
    <xdr:to>
      <xdr:col>22</xdr:col>
      <xdr:colOff>391584</xdr:colOff>
      <xdr:row>176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150020</xdr:colOff>
      <xdr:row>193</xdr:row>
      <xdr:rowOff>25400</xdr:rowOff>
    </xdr:from>
    <xdr:to>
      <xdr:col>34</xdr:col>
      <xdr:colOff>285751</xdr:colOff>
      <xdr:row>208</xdr:row>
      <xdr:rowOff>21165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183886</xdr:colOff>
      <xdr:row>161</xdr:row>
      <xdr:rowOff>20110</xdr:rowOff>
    </xdr:from>
    <xdr:to>
      <xdr:col>35</xdr:col>
      <xdr:colOff>148167</xdr:colOff>
      <xdr:row>176</xdr:row>
      <xdr:rowOff>0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306161</xdr:colOff>
      <xdr:row>187</xdr:row>
      <xdr:rowOff>132669</xdr:rowOff>
    </xdr:from>
    <xdr:to>
      <xdr:col>1</xdr:col>
      <xdr:colOff>1517196</xdr:colOff>
      <xdr:row>193</xdr:row>
      <xdr:rowOff>159883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06161" y="39032769"/>
          <a:ext cx="1687285" cy="1341664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7</a:t>
          </a:r>
          <a:r>
            <a:rPr lang="en-US" sz="2800" b="1">
              <a:solidFill>
                <a:srgbClr val="FFFF00"/>
              </a:solidFill>
              <a:latin typeface="+mn-lt"/>
              <a:ea typeface="+mn-ea"/>
              <a:cs typeface="+mn-cs"/>
            </a:rPr>
            <a:t>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Целевая ячейка, требующая максимизации</a:t>
          </a:r>
        </a:p>
      </xdr:txBody>
    </xdr:sp>
    <xdr:clientData/>
  </xdr:twoCellAnchor>
  <xdr:twoCellAnchor>
    <xdr:from>
      <xdr:col>1</xdr:col>
      <xdr:colOff>1445757</xdr:colOff>
      <xdr:row>189</xdr:row>
      <xdr:rowOff>22110</xdr:rowOff>
    </xdr:from>
    <xdr:to>
      <xdr:col>2</xdr:col>
      <xdr:colOff>1190624</xdr:colOff>
      <xdr:row>190</xdr:row>
      <xdr:rowOff>22111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922007" y="39303210"/>
          <a:ext cx="1649867" cy="190501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1197430</xdr:colOff>
      <xdr:row>190</xdr:row>
      <xdr:rowOff>23812</xdr:rowOff>
    </xdr:from>
    <xdr:to>
      <xdr:col>4</xdr:col>
      <xdr:colOff>13608</xdr:colOff>
      <xdr:row>191</xdr:row>
      <xdr:rowOff>23811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78680" y="39495412"/>
          <a:ext cx="1349828" cy="190499"/>
        </a:xfrm>
        <a:prstGeom prst="rect">
          <a:avLst/>
        </a:prstGeom>
        <a:noFill/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211668</xdr:colOff>
      <xdr:row>164</xdr:row>
      <xdr:rowOff>31750</xdr:rowOff>
    </xdr:from>
    <xdr:to>
      <xdr:col>15</xdr:col>
      <xdr:colOff>24646</xdr:colOff>
      <xdr:row>177</xdr:row>
      <xdr:rowOff>0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946718" y="34159825"/>
          <a:ext cx="422578" cy="28352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26</xdr:col>
      <xdr:colOff>243417</xdr:colOff>
      <xdr:row>196</xdr:row>
      <xdr:rowOff>10584</xdr:rowOff>
    </xdr:from>
    <xdr:to>
      <xdr:col>26</xdr:col>
      <xdr:colOff>987728</xdr:colOff>
      <xdr:row>200</xdr:row>
      <xdr:rowOff>1</xdr:rowOff>
    </xdr:to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712892" y="40796634"/>
          <a:ext cx="363311" cy="751417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26</xdr:col>
      <xdr:colOff>296333</xdr:colOff>
      <xdr:row>166</xdr:row>
      <xdr:rowOff>31749</xdr:rowOff>
    </xdr:from>
    <xdr:to>
      <xdr:col>27</xdr:col>
      <xdr:colOff>14061</xdr:colOff>
      <xdr:row>178</xdr:row>
      <xdr:rowOff>42334</xdr:rowOff>
    </xdr:to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0861000" y="33856082"/>
          <a:ext cx="331561" cy="229658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38</xdr:col>
      <xdr:colOff>74083</xdr:colOff>
      <xdr:row>198</xdr:row>
      <xdr:rowOff>31752</xdr:rowOff>
    </xdr:from>
    <xdr:to>
      <xdr:col>39</xdr:col>
      <xdr:colOff>24644</xdr:colOff>
      <xdr:row>210</xdr:row>
      <xdr:rowOff>0</xdr:rowOff>
    </xdr:to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0638750" y="39930919"/>
          <a:ext cx="564394" cy="2254248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10583</xdr:colOff>
      <xdr:row>184</xdr:row>
      <xdr:rowOff>21167</xdr:rowOff>
    </xdr:from>
    <xdr:to>
      <xdr:col>20</xdr:col>
      <xdr:colOff>438452</xdr:colOff>
      <xdr:row>191</xdr:row>
      <xdr:rowOff>116416</xdr:rowOff>
    </xdr:to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6245416" y="37274500"/>
          <a:ext cx="2724453" cy="1428749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2800" b="1">
              <a:solidFill>
                <a:srgbClr val="FFFF00"/>
              </a:solidFill>
              <a:latin typeface="+mn-lt"/>
              <a:ea typeface="+mn-ea"/>
              <a:cs typeface="+mn-cs"/>
            </a:rPr>
            <a:t>8.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Ячейки, значения которых изменяет</a:t>
          </a:r>
          <a:r>
            <a:rPr lang="ru-RU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"Поиск решения"</a:t>
          </a:r>
        </a:p>
      </xdr:txBody>
    </xdr:sp>
    <xdr:clientData/>
  </xdr:twoCellAnchor>
  <xdr:twoCellAnchor>
    <xdr:from>
      <xdr:col>14</xdr:col>
      <xdr:colOff>425074</xdr:colOff>
      <xdr:row>177</xdr:row>
      <xdr:rowOff>0</xdr:rowOff>
    </xdr:from>
    <xdr:to>
      <xdr:col>17</xdr:col>
      <xdr:colOff>31751</xdr:colOff>
      <xdr:row>188</xdr:row>
      <xdr:rowOff>95250</xdr:rowOff>
    </xdr:to>
    <xdr:cxnSp macro="">
      <xdr:nvCxnSpPr>
        <xdr:cNvPr id="39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endCxn id="34" idx="2"/>
        </xdr:cNvCxnSpPr>
      </xdr:nvCxnSpPr>
      <xdr:spPr>
        <a:xfrm rot="10800000">
          <a:off x="14160124" y="36995100"/>
          <a:ext cx="2368927" cy="2190750"/>
        </a:xfrm>
        <a:prstGeom prst="bentConnector2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438452</xdr:colOff>
      <xdr:row>178</xdr:row>
      <xdr:rowOff>42334</xdr:rowOff>
    </xdr:from>
    <xdr:to>
      <xdr:col>26</xdr:col>
      <xdr:colOff>462114</xdr:colOff>
      <xdr:row>187</xdr:row>
      <xdr:rowOff>164042</xdr:rowOff>
    </xdr:to>
    <xdr:cxnSp macro="">
      <xdr:nvCxnSpPr>
        <xdr:cNvPr id="41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stCxn id="38" idx="3"/>
          <a:endCxn id="36" idx="2"/>
        </xdr:cNvCxnSpPr>
      </xdr:nvCxnSpPr>
      <xdr:spPr>
        <a:xfrm flipV="1">
          <a:off x="18969869" y="35962167"/>
          <a:ext cx="3727828" cy="1836208"/>
        </a:xfrm>
        <a:prstGeom prst="bentConnector2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423332</xdr:colOff>
      <xdr:row>189</xdr:row>
      <xdr:rowOff>98277</xdr:rowOff>
    </xdr:from>
    <xdr:to>
      <xdr:col>38</xdr:col>
      <xdr:colOff>356280</xdr:colOff>
      <xdr:row>198</xdr:row>
      <xdr:rowOff>31752</xdr:rowOff>
    </xdr:to>
    <xdr:cxnSp macro="">
      <xdr:nvCxnSpPr>
        <xdr:cNvPr id="42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endCxn id="37" idx="0"/>
        </xdr:cNvCxnSpPr>
      </xdr:nvCxnSpPr>
      <xdr:spPr>
        <a:xfrm>
          <a:off x="18954749" y="38113610"/>
          <a:ext cx="11966198" cy="1817309"/>
        </a:xfrm>
        <a:prstGeom prst="bentConnector2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112448</xdr:colOff>
      <xdr:row>109</xdr:row>
      <xdr:rowOff>48950</xdr:rowOff>
    </xdr:from>
    <xdr:to>
      <xdr:col>40</xdr:col>
      <xdr:colOff>533929</xdr:colOff>
      <xdr:row>123</xdr:row>
      <xdr:rowOff>166688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421217</xdr:colOff>
      <xdr:row>190</xdr:row>
      <xdr:rowOff>164044</xdr:rowOff>
    </xdr:from>
    <xdr:to>
      <xdr:col>26</xdr:col>
      <xdr:colOff>425073</xdr:colOff>
      <xdr:row>196</xdr:row>
      <xdr:rowOff>10584</xdr:rowOff>
    </xdr:to>
    <xdr:cxnSp macro="">
      <xdr:nvCxnSpPr>
        <xdr:cNvPr id="46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endCxn id="35" idx="0"/>
        </xdr:cNvCxnSpPr>
      </xdr:nvCxnSpPr>
      <xdr:spPr>
        <a:xfrm>
          <a:off x="19204517" y="39635644"/>
          <a:ext cx="3690031" cy="1160990"/>
        </a:xfrm>
        <a:prstGeom prst="bentConnector2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74348</xdr:colOff>
      <xdr:row>193</xdr:row>
      <xdr:rowOff>21432</xdr:rowOff>
    </xdr:from>
    <xdr:to>
      <xdr:col>47</xdr:col>
      <xdr:colOff>424656</xdr:colOff>
      <xdr:row>209</xdr:row>
      <xdr:rowOff>158749</xdr:rowOff>
    </xdr:to>
    <xdr:graphicFrame macro="">
      <xdr:nvGraphicFramePr>
        <xdr:cNvPr id="47" name="Диаграмм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681905</xdr:colOff>
      <xdr:row>187</xdr:row>
      <xdr:rowOff>179917</xdr:rowOff>
    </xdr:from>
    <xdr:to>
      <xdr:col>14</xdr:col>
      <xdr:colOff>11787</xdr:colOff>
      <xdr:row>193</xdr:row>
      <xdr:rowOff>126999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520797" y="38398980"/>
          <a:ext cx="3226473" cy="1278417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9</a:t>
          </a:r>
          <a:r>
            <a:rPr lang="en-US" sz="2800" b="1">
              <a:solidFill>
                <a:srgbClr val="FFFF00"/>
              </a:solidFill>
              <a:latin typeface="+mn-lt"/>
              <a:ea typeface="+mn-ea"/>
              <a:cs typeface="+mn-cs"/>
            </a:rPr>
            <a:t>. </a:t>
          </a:r>
          <a:r>
            <a:rPr lang="ru-RU" sz="1400" b="1">
              <a:solidFill>
                <a:schemeClr val="bg1"/>
              </a:solidFill>
              <a:latin typeface="+mn-lt"/>
              <a:ea typeface="+mn-ea"/>
              <a:cs typeface="+mn-cs"/>
            </a:rPr>
            <a:t>Для объкта оценки подставляются преобразованные значения факторных переменных (кроме бинарных)</a:t>
          </a:r>
        </a:p>
      </xdr:txBody>
    </xdr:sp>
    <xdr:clientData/>
  </xdr:twoCellAnchor>
  <xdr:twoCellAnchor>
    <xdr:from>
      <xdr:col>11</xdr:col>
      <xdr:colOff>32472</xdr:colOff>
      <xdr:row>180</xdr:row>
      <xdr:rowOff>108241</xdr:rowOff>
    </xdr:from>
    <xdr:to>
      <xdr:col>12</xdr:col>
      <xdr:colOff>43296</xdr:colOff>
      <xdr:row>188</xdr:row>
      <xdr:rowOff>43301</xdr:rowOff>
    </xdr:to>
    <xdr:cxnSp macro="">
      <xdr:nvCxnSpPr>
        <xdr:cNvPr id="49" name="Соединительная линия уступом 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16200000" flipV="1">
          <a:off x="10731860" y="37207035"/>
          <a:ext cx="1493696" cy="100662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63502</xdr:colOff>
      <xdr:row>145</xdr:row>
      <xdr:rowOff>3968</xdr:rowOff>
    </xdr:from>
    <xdr:to>
      <xdr:col>25</xdr:col>
      <xdr:colOff>63501</xdr:colOff>
      <xdr:row>149</xdr:row>
      <xdr:rowOff>91281</xdr:rowOff>
    </xdr:to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005471" y="29090937"/>
          <a:ext cx="9679780" cy="1182688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ru-RU" sz="2800" b="1">
              <a:solidFill>
                <a:srgbClr val="FFFF00"/>
              </a:solidFill>
              <a:latin typeface="+mn-lt"/>
              <a:ea typeface="+mn-ea"/>
              <a:cs typeface="+mn-cs"/>
            </a:rPr>
            <a:t>6</a:t>
          </a:r>
          <a:r>
            <a:rPr lang="en-US" sz="2800" b="1">
              <a:solidFill>
                <a:srgbClr val="FFFF00"/>
              </a:solidFill>
              <a:latin typeface="+mn-lt"/>
              <a:ea typeface="+mn-ea"/>
              <a:cs typeface="+mn-cs"/>
            </a:rPr>
            <a:t>.</a:t>
          </a:r>
          <a:r>
            <a:rPr lang="ru-RU" sz="2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</a:t>
          </a:r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Для остальных пременных</a:t>
          </a:r>
          <a:r>
            <a:rPr lang="ru-RU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делается то же самое  до запуска макроса "Поиск решения" !</a:t>
          </a:r>
        </a:p>
        <a:p>
          <a:pPr algn="l"/>
          <a:r>
            <a:rPr lang="ru-RU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Бинарные перменные (здесь - Состояние) можно оцифровывать простым копированием, т.к. они не будут участвовать в оптимизации макросом.   </a:t>
          </a:r>
        </a:p>
        <a:p>
          <a:pPr algn="l"/>
          <a:endParaRPr lang="ru-RU" sz="14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121</xdr:col>
      <xdr:colOff>185736</xdr:colOff>
      <xdr:row>223</xdr:row>
      <xdr:rowOff>21431</xdr:rowOff>
    </xdr:from>
    <xdr:to>
      <xdr:col>131</xdr:col>
      <xdr:colOff>273843</xdr:colOff>
      <xdr:row>239</xdr:row>
      <xdr:rowOff>95250</xdr:rowOff>
    </xdr:to>
    <xdr:graphicFrame macro="">
      <xdr:nvGraphicFramePr>
        <xdr:cNvPr id="61" name="Диаграмма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121</xdr:col>
      <xdr:colOff>157161</xdr:colOff>
      <xdr:row>240</xdr:row>
      <xdr:rowOff>0</xdr:rowOff>
    </xdr:from>
    <xdr:to>
      <xdr:col>131</xdr:col>
      <xdr:colOff>285750</xdr:colOff>
      <xdr:row>249</xdr:row>
      <xdr:rowOff>190499</xdr:rowOff>
    </xdr:to>
    <xdr:graphicFrame macro="">
      <xdr:nvGraphicFramePr>
        <xdr:cNvPr id="62" name="Диаграмма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187477</xdr:colOff>
      <xdr:row>218</xdr:row>
      <xdr:rowOff>32278</xdr:rowOff>
    </xdr:from>
    <xdr:to>
      <xdr:col>22</xdr:col>
      <xdr:colOff>391584</xdr:colOff>
      <xdr:row>233</xdr:row>
      <xdr:rowOff>0</xdr:rowOff>
    </xdr:to>
    <xdr:graphicFrame macro="">
      <xdr:nvGraphicFramePr>
        <xdr:cNvPr id="63" name="Диаграмма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85077</xdr:colOff>
      <xdr:row>241</xdr:row>
      <xdr:rowOff>3752</xdr:rowOff>
    </xdr:from>
    <xdr:to>
      <xdr:col>22</xdr:col>
      <xdr:colOff>220808</xdr:colOff>
      <xdr:row>255</xdr:row>
      <xdr:rowOff>31988</xdr:rowOff>
    </xdr:to>
    <xdr:graphicFrame macro="">
      <xdr:nvGraphicFramePr>
        <xdr:cNvPr id="64" name="Диаграмма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129766</xdr:colOff>
      <xdr:row>218</xdr:row>
      <xdr:rowOff>52582</xdr:rowOff>
    </xdr:from>
    <xdr:to>
      <xdr:col>34</xdr:col>
      <xdr:colOff>299700</xdr:colOff>
      <xdr:row>233</xdr:row>
      <xdr:rowOff>32472</xdr:rowOff>
    </xdr:to>
    <xdr:graphicFrame macro="">
      <xdr:nvGraphicFramePr>
        <xdr:cNvPr id="65" name="Диаграмма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211668</xdr:colOff>
      <xdr:row>221</xdr:row>
      <xdr:rowOff>31750</xdr:rowOff>
    </xdr:from>
    <xdr:to>
      <xdr:col>15</xdr:col>
      <xdr:colOff>24646</xdr:colOff>
      <xdr:row>234</xdr:row>
      <xdr:rowOff>0</xdr:rowOff>
    </xdr:to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3927668" y="33274000"/>
          <a:ext cx="426811" cy="2455333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243417</xdr:colOff>
      <xdr:row>244</xdr:row>
      <xdr:rowOff>10584</xdr:rowOff>
    </xdr:from>
    <xdr:to>
      <xdr:col>14</xdr:col>
      <xdr:colOff>987728</xdr:colOff>
      <xdr:row>248</xdr:row>
      <xdr:rowOff>1</xdr:rowOff>
    </xdr:to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2479000" y="39528751"/>
          <a:ext cx="363311" cy="751417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26</xdr:col>
      <xdr:colOff>296333</xdr:colOff>
      <xdr:row>222</xdr:row>
      <xdr:rowOff>31749</xdr:rowOff>
    </xdr:from>
    <xdr:to>
      <xdr:col>27</xdr:col>
      <xdr:colOff>14061</xdr:colOff>
      <xdr:row>234</xdr:row>
      <xdr:rowOff>42334</xdr:rowOff>
    </xdr:to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0861000" y="33665582"/>
          <a:ext cx="331561" cy="229658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26</xdr:col>
      <xdr:colOff>74083</xdr:colOff>
      <xdr:row>244</xdr:row>
      <xdr:rowOff>31752</xdr:rowOff>
    </xdr:from>
    <xdr:to>
      <xdr:col>27</xdr:col>
      <xdr:colOff>24644</xdr:colOff>
      <xdr:row>256</xdr:row>
      <xdr:rowOff>0</xdr:rowOff>
    </xdr:to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0638750" y="39930919"/>
          <a:ext cx="564394" cy="2254248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28</xdr:col>
      <xdr:colOff>63524</xdr:colOff>
      <xdr:row>241</xdr:row>
      <xdr:rowOff>21433</xdr:rowOff>
    </xdr:from>
    <xdr:to>
      <xdr:col>35</xdr:col>
      <xdr:colOff>413832</xdr:colOff>
      <xdr:row>255</xdr:row>
      <xdr:rowOff>17559</xdr:rowOff>
    </xdr:to>
    <xdr:graphicFrame macro="">
      <xdr:nvGraphicFramePr>
        <xdr:cNvPr id="81" name="Диаграмма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n.ru/detail/flats/580733.html?from=search" TargetMode="External"/><Relationship Id="rId13" Type="http://schemas.openxmlformats.org/officeDocument/2006/relationships/hyperlink" Target="http://www.bn.ru/detail/flats/651599.html?from=search" TargetMode="External"/><Relationship Id="rId3" Type="http://schemas.openxmlformats.org/officeDocument/2006/relationships/hyperlink" Target="http://www.bn.ru/detail/flats/610350.html?from=search" TargetMode="External"/><Relationship Id="rId7" Type="http://schemas.openxmlformats.org/officeDocument/2006/relationships/hyperlink" Target="http://www.bn.ru/detail/flats/588183.html?from=search" TargetMode="External"/><Relationship Id="rId12" Type="http://schemas.openxmlformats.org/officeDocument/2006/relationships/hyperlink" Target="http://www.bn.ru/detail/flats/651599.html?from=search" TargetMode="External"/><Relationship Id="rId2" Type="http://schemas.openxmlformats.org/officeDocument/2006/relationships/hyperlink" Target="http://www.bn.ru/detail/flats/512443.html?from=search" TargetMode="External"/><Relationship Id="rId1" Type="http://schemas.openxmlformats.org/officeDocument/2006/relationships/hyperlink" Target="http://www.bn.ru/detail/flats/512444.html?from=search" TargetMode="External"/><Relationship Id="rId6" Type="http://schemas.openxmlformats.org/officeDocument/2006/relationships/hyperlink" Target="http://www.bn.ru/detail/flats/661702.html?from=search" TargetMode="External"/><Relationship Id="rId11" Type="http://schemas.openxmlformats.org/officeDocument/2006/relationships/hyperlink" Target="http://www.bn.ru/detail/flats/569135.html?from=search" TargetMode="External"/><Relationship Id="rId5" Type="http://schemas.openxmlformats.org/officeDocument/2006/relationships/hyperlink" Target="http://www.bn.ru/detail/flats/642986.html?from=search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bn.ru/detail/flats/661626.html?from=search" TargetMode="External"/><Relationship Id="rId4" Type="http://schemas.openxmlformats.org/officeDocument/2006/relationships/hyperlink" Target="http://www.bn.ru/detail/flats/661627.html?from=search" TargetMode="External"/><Relationship Id="rId9" Type="http://schemas.openxmlformats.org/officeDocument/2006/relationships/hyperlink" Target="http://www.bn.ru/detail/flats/643051.html?from=search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E2064"/>
  <sheetViews>
    <sheetView tabSelected="1" zoomScale="80" zoomScaleNormal="80" workbookViewId="0">
      <selection activeCell="N32" sqref="N32"/>
    </sheetView>
  </sheetViews>
  <sheetFormatPr baseColWidth="10" defaultColWidth="8.83203125" defaultRowHeight="15"/>
  <cols>
    <col min="1" max="1" width="7.1640625" customWidth="1"/>
    <col min="2" max="2" width="28.5" customWidth="1"/>
    <col min="3" max="3" width="18.1640625" customWidth="1"/>
    <col min="4" max="4" width="19.83203125" customWidth="1"/>
    <col min="5" max="5" width="13.6640625" customWidth="1"/>
    <col min="6" max="6" width="15.33203125" customWidth="1"/>
    <col min="7" max="7" width="10" customWidth="1"/>
    <col min="8" max="8" width="12.5" customWidth="1"/>
    <col min="9" max="9" width="10" customWidth="1"/>
    <col min="10" max="10" width="12.33203125" customWidth="1"/>
    <col min="11" max="11" width="16.5" customWidth="1"/>
    <col min="12" max="12" width="14.83203125" customWidth="1"/>
    <col min="13" max="13" width="17.5" customWidth="1"/>
    <col min="14" max="14" width="9.5" customWidth="1"/>
    <col min="15" max="15" width="9.1640625" customWidth="1"/>
    <col min="16" max="16" width="11" customWidth="1"/>
    <col min="17" max="17" width="17.5" customWidth="1"/>
    <col min="18" max="18" width="16" customWidth="1"/>
    <col min="19" max="19" width="10.1640625" customWidth="1"/>
    <col min="21" max="21" width="9.5" bestFit="1" customWidth="1"/>
    <col min="30" max="30" width="10" customWidth="1"/>
    <col min="31" max="31" width="16.1640625" customWidth="1"/>
    <col min="32" max="32" width="15.83203125" customWidth="1"/>
    <col min="43" max="43" width="9.6640625" customWidth="1"/>
    <col min="44" max="44" width="10.5" customWidth="1"/>
    <col min="45" max="45" width="15.5" customWidth="1"/>
    <col min="47" max="47" width="9.5" bestFit="1" customWidth="1"/>
    <col min="58" max="58" width="10" customWidth="1"/>
    <col min="63" max="63" width="9.5" bestFit="1" customWidth="1"/>
    <col min="74" max="74" width="11.5" bestFit="1" customWidth="1"/>
    <col min="86" max="86" width="10.5" customWidth="1"/>
    <col min="101" max="101" width="18.6640625" customWidth="1"/>
    <col min="103" max="103" width="15.83203125" customWidth="1"/>
    <col min="106" max="106" width="9.33203125" bestFit="1" customWidth="1"/>
    <col min="116" max="132" width="0" hidden="1" customWidth="1"/>
    <col min="133" max="133" width="9.5" customWidth="1"/>
    <col min="134" max="134" width="22.33203125" customWidth="1"/>
  </cols>
  <sheetData>
    <row r="2" spans="1:15" ht="31">
      <c r="A2" s="192" t="s">
        <v>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16" thickBot="1">
      <c r="B3" s="83"/>
    </row>
    <row r="4" spans="1:15">
      <c r="A4" s="193" t="s">
        <v>44</v>
      </c>
      <c r="B4" s="195" t="s">
        <v>92</v>
      </c>
      <c r="C4" s="193" t="s">
        <v>0</v>
      </c>
      <c r="D4" s="193" t="s">
        <v>1</v>
      </c>
      <c r="E4" s="195" t="s">
        <v>2</v>
      </c>
      <c r="F4" s="195" t="s">
        <v>3</v>
      </c>
      <c r="G4" s="195" t="s">
        <v>4</v>
      </c>
      <c r="H4" s="198" t="s">
        <v>5</v>
      </c>
      <c r="I4" s="198" t="s">
        <v>6</v>
      </c>
      <c r="J4" s="198" t="s">
        <v>7</v>
      </c>
      <c r="K4" s="198" t="s">
        <v>8</v>
      </c>
      <c r="L4" s="198" t="s">
        <v>9</v>
      </c>
      <c r="M4" s="198" t="s">
        <v>10</v>
      </c>
      <c r="N4" s="198" t="s">
        <v>101</v>
      </c>
    </row>
    <row r="5" spans="1:15" ht="16" thickBot="1">
      <c r="A5" s="194" t="s">
        <v>1</v>
      </c>
      <c r="B5" s="196" t="s">
        <v>1</v>
      </c>
      <c r="C5" s="194" t="s">
        <v>1</v>
      </c>
      <c r="D5" s="194" t="s">
        <v>1</v>
      </c>
      <c r="E5" s="197"/>
      <c r="F5" s="197"/>
      <c r="G5" s="197"/>
      <c r="H5" s="199"/>
      <c r="I5" s="199"/>
      <c r="J5" s="199"/>
      <c r="K5" s="199"/>
      <c r="L5" s="199"/>
      <c r="M5" s="199"/>
      <c r="N5" s="199"/>
    </row>
    <row r="6" spans="1:15">
      <c r="A6" s="1">
        <v>1</v>
      </c>
      <c r="B6" s="138" t="s">
        <v>11</v>
      </c>
      <c r="C6" s="2">
        <v>4400</v>
      </c>
      <c r="D6" s="2">
        <v>1500</v>
      </c>
      <c r="E6" s="2" t="s">
        <v>12</v>
      </c>
      <c r="F6" s="2">
        <v>4</v>
      </c>
      <c r="G6" s="2">
        <v>10</v>
      </c>
      <c r="H6" s="2" t="s">
        <v>87</v>
      </c>
      <c r="I6" s="2">
        <v>58</v>
      </c>
      <c r="J6" s="2">
        <v>30</v>
      </c>
      <c r="K6" s="2">
        <v>11.5</v>
      </c>
      <c r="L6" s="2"/>
      <c r="M6" s="2" t="s">
        <v>13</v>
      </c>
      <c r="N6" s="2">
        <v>1983</v>
      </c>
    </row>
    <row r="7" spans="1:15">
      <c r="A7" s="4">
        <v>2</v>
      </c>
      <c r="B7" s="4" t="s">
        <v>17</v>
      </c>
      <c r="C7" s="5">
        <v>5900</v>
      </c>
      <c r="D7" s="5">
        <v>1200</v>
      </c>
      <c r="E7" s="5" t="s">
        <v>16</v>
      </c>
      <c r="F7" s="5">
        <v>12</v>
      </c>
      <c r="G7" s="5">
        <v>22</v>
      </c>
      <c r="H7" s="5" t="s">
        <v>14</v>
      </c>
      <c r="I7" s="5">
        <v>65</v>
      </c>
      <c r="J7" s="5">
        <v>37</v>
      </c>
      <c r="K7" s="5">
        <v>9</v>
      </c>
      <c r="L7" s="5" t="s">
        <v>18</v>
      </c>
      <c r="M7" s="5" t="s">
        <v>13</v>
      </c>
      <c r="N7" s="5">
        <v>2007</v>
      </c>
    </row>
    <row r="8" spans="1:15">
      <c r="A8" s="4">
        <v>3</v>
      </c>
      <c r="B8" s="4" t="s">
        <v>21</v>
      </c>
      <c r="C8" s="5">
        <v>5000</v>
      </c>
      <c r="D8" s="5">
        <v>440</v>
      </c>
      <c r="E8" s="5" t="s">
        <v>16</v>
      </c>
      <c r="F8" s="5">
        <v>6</v>
      </c>
      <c r="G8" s="5">
        <v>12</v>
      </c>
      <c r="H8" s="5" t="s">
        <v>87</v>
      </c>
      <c r="I8" s="5">
        <v>52.7</v>
      </c>
      <c r="J8" s="5">
        <v>29</v>
      </c>
      <c r="K8" s="5">
        <v>10.7</v>
      </c>
      <c r="L8" s="5" t="s">
        <v>22</v>
      </c>
      <c r="M8" s="5" t="s">
        <v>13</v>
      </c>
      <c r="N8" s="5">
        <v>1993</v>
      </c>
      <c r="O8" s="150"/>
    </row>
    <row r="9" spans="1:15">
      <c r="A9" s="4">
        <v>4</v>
      </c>
      <c r="B9" s="4" t="s">
        <v>24</v>
      </c>
      <c r="C9" s="5">
        <v>5450</v>
      </c>
      <c r="D9" s="5">
        <v>190</v>
      </c>
      <c r="E9" s="5" t="s">
        <v>12</v>
      </c>
      <c r="F9" s="5">
        <v>3</v>
      </c>
      <c r="G9" s="5">
        <v>16</v>
      </c>
      <c r="H9" s="5" t="s">
        <v>88</v>
      </c>
      <c r="I9" s="5">
        <v>62</v>
      </c>
      <c r="J9" s="5">
        <v>31.9</v>
      </c>
      <c r="K9" s="5">
        <v>12.7</v>
      </c>
      <c r="L9" s="5" t="s">
        <v>25</v>
      </c>
      <c r="M9" s="5" t="s">
        <v>13</v>
      </c>
      <c r="N9" s="5">
        <v>2003</v>
      </c>
    </row>
    <row r="10" spans="1:15">
      <c r="A10" s="4">
        <v>5</v>
      </c>
      <c r="B10" s="4" t="s">
        <v>26</v>
      </c>
      <c r="C10" s="5">
        <v>5800</v>
      </c>
      <c r="D10" s="5">
        <v>600</v>
      </c>
      <c r="E10" s="5" t="s">
        <v>16</v>
      </c>
      <c r="F10" s="5">
        <v>3</v>
      </c>
      <c r="G10" s="5">
        <v>16</v>
      </c>
      <c r="H10" s="5" t="s">
        <v>15</v>
      </c>
      <c r="I10" s="5">
        <v>56</v>
      </c>
      <c r="J10" s="5">
        <v>30</v>
      </c>
      <c r="K10" s="5">
        <v>9</v>
      </c>
      <c r="L10" s="5" t="s">
        <v>27</v>
      </c>
      <c r="M10" s="5" t="s">
        <v>13</v>
      </c>
      <c r="N10" s="5">
        <v>2004</v>
      </c>
    </row>
    <row r="11" spans="1:15">
      <c r="A11" s="4">
        <v>6</v>
      </c>
      <c r="B11" s="4" t="s">
        <v>28</v>
      </c>
      <c r="C11" s="5">
        <v>4550</v>
      </c>
      <c r="D11" s="5">
        <v>710</v>
      </c>
      <c r="E11" s="5" t="s">
        <v>12</v>
      </c>
      <c r="F11" s="5">
        <v>4</v>
      </c>
      <c r="G11" s="5">
        <v>12</v>
      </c>
      <c r="H11" s="5" t="s">
        <v>87</v>
      </c>
      <c r="I11" s="5">
        <v>58</v>
      </c>
      <c r="J11" s="5">
        <v>31</v>
      </c>
      <c r="K11" s="5">
        <v>7.4</v>
      </c>
      <c r="L11" s="5" t="s">
        <v>29</v>
      </c>
      <c r="M11" s="5" t="s">
        <v>13</v>
      </c>
      <c r="N11" s="5">
        <v>1988</v>
      </c>
      <c r="O11" s="150"/>
    </row>
    <row r="12" spans="1:15">
      <c r="A12" s="4">
        <v>7</v>
      </c>
      <c r="B12" s="4" t="s">
        <v>103</v>
      </c>
      <c r="C12" s="5">
        <v>4800</v>
      </c>
      <c r="D12" s="5">
        <v>710</v>
      </c>
      <c r="E12" s="5" t="s">
        <v>16</v>
      </c>
      <c r="F12" s="5">
        <v>12</v>
      </c>
      <c r="G12" s="5">
        <v>12</v>
      </c>
      <c r="H12" s="5" t="s">
        <v>87</v>
      </c>
      <c r="I12" s="5">
        <v>52.5</v>
      </c>
      <c r="J12" s="5">
        <v>30.2</v>
      </c>
      <c r="K12" s="5">
        <v>7.8</v>
      </c>
      <c r="L12" s="5" t="s">
        <v>30</v>
      </c>
      <c r="M12" s="5" t="s">
        <v>13</v>
      </c>
      <c r="N12" s="5">
        <v>1988</v>
      </c>
      <c r="O12" s="150"/>
    </row>
    <row r="13" spans="1:15">
      <c r="A13" s="4">
        <v>8</v>
      </c>
      <c r="B13" s="4" t="s">
        <v>102</v>
      </c>
      <c r="C13" s="5">
        <v>4500</v>
      </c>
      <c r="D13" s="5">
        <v>490</v>
      </c>
      <c r="E13" s="5" t="s">
        <v>12</v>
      </c>
      <c r="F13" s="5">
        <v>11</v>
      </c>
      <c r="G13" s="5">
        <v>12</v>
      </c>
      <c r="H13" s="5" t="s">
        <v>87</v>
      </c>
      <c r="I13" s="5">
        <v>52</v>
      </c>
      <c r="J13" s="5">
        <v>31</v>
      </c>
      <c r="K13" s="5">
        <v>8</v>
      </c>
      <c r="L13" s="5" t="s">
        <v>31</v>
      </c>
      <c r="M13" s="5" t="s">
        <v>13</v>
      </c>
      <c r="N13" s="5">
        <v>1988</v>
      </c>
      <c r="O13" s="120"/>
    </row>
    <row r="14" spans="1:15">
      <c r="A14" s="4">
        <v>9</v>
      </c>
      <c r="B14" s="4" t="s">
        <v>32</v>
      </c>
      <c r="C14" s="5">
        <v>5500</v>
      </c>
      <c r="D14" s="5">
        <v>1700</v>
      </c>
      <c r="E14" s="5" t="s">
        <v>16</v>
      </c>
      <c r="F14" s="5">
        <v>2</v>
      </c>
      <c r="G14" s="5">
        <v>16</v>
      </c>
      <c r="H14" s="5" t="s">
        <v>88</v>
      </c>
      <c r="I14" s="5">
        <v>63</v>
      </c>
      <c r="J14" s="5">
        <v>34</v>
      </c>
      <c r="K14" s="5">
        <v>13</v>
      </c>
      <c r="L14" s="5" t="s">
        <v>33</v>
      </c>
      <c r="M14" s="5" t="s">
        <v>13</v>
      </c>
      <c r="N14" s="5">
        <v>2003</v>
      </c>
    </row>
    <row r="15" spans="1:15">
      <c r="A15" s="4">
        <v>10</v>
      </c>
      <c r="B15" s="4" t="s">
        <v>104</v>
      </c>
      <c r="C15" s="5">
        <v>4700</v>
      </c>
      <c r="D15" s="5">
        <v>550</v>
      </c>
      <c r="E15" s="5" t="s">
        <v>12</v>
      </c>
      <c r="F15" s="5">
        <v>12</v>
      </c>
      <c r="G15" s="5">
        <v>12</v>
      </c>
      <c r="H15" s="5" t="s">
        <v>87</v>
      </c>
      <c r="I15" s="5">
        <v>51.7</v>
      </c>
      <c r="J15" s="5">
        <v>29.6</v>
      </c>
      <c r="K15" s="5">
        <v>7.9</v>
      </c>
      <c r="L15" s="5" t="s">
        <v>34</v>
      </c>
      <c r="M15" s="5" t="s">
        <v>13</v>
      </c>
      <c r="N15" s="5">
        <v>1987</v>
      </c>
      <c r="O15" s="120"/>
    </row>
    <row r="16" spans="1:15">
      <c r="A16" s="4">
        <v>11</v>
      </c>
      <c r="B16" s="4" t="s">
        <v>35</v>
      </c>
      <c r="C16" s="5">
        <v>5500</v>
      </c>
      <c r="D16" s="5">
        <v>930</v>
      </c>
      <c r="E16" s="5" t="s">
        <v>16</v>
      </c>
      <c r="F16" s="5">
        <v>11</v>
      </c>
      <c r="G16" s="5">
        <v>12</v>
      </c>
      <c r="H16" s="5" t="s">
        <v>87</v>
      </c>
      <c r="I16" s="5">
        <v>56</v>
      </c>
      <c r="J16" s="5">
        <v>32.6</v>
      </c>
      <c r="K16" s="5">
        <v>10</v>
      </c>
      <c r="L16" s="5" t="s">
        <v>36</v>
      </c>
      <c r="M16" s="5" t="s">
        <v>13</v>
      </c>
      <c r="N16" s="5">
        <v>1987</v>
      </c>
      <c r="O16" s="120"/>
    </row>
    <row r="17" spans="1:17">
      <c r="A17" s="4">
        <v>12</v>
      </c>
      <c r="B17" s="4" t="s">
        <v>37</v>
      </c>
      <c r="C17" s="5">
        <v>5800</v>
      </c>
      <c r="D17" s="5">
        <v>1180</v>
      </c>
      <c r="E17" s="5" t="s">
        <v>16</v>
      </c>
      <c r="F17" s="5">
        <v>14</v>
      </c>
      <c r="G17" s="5">
        <v>16</v>
      </c>
      <c r="H17" s="5" t="s">
        <v>14</v>
      </c>
      <c r="I17" s="5">
        <v>59</v>
      </c>
      <c r="J17" s="5">
        <v>34</v>
      </c>
      <c r="K17" s="5">
        <v>10.5</v>
      </c>
      <c r="L17" s="5" t="s">
        <v>38</v>
      </c>
      <c r="M17" s="5" t="s">
        <v>13</v>
      </c>
      <c r="N17" s="5">
        <v>2000</v>
      </c>
    </row>
    <row r="18" spans="1:17">
      <c r="A18" s="4">
        <v>13</v>
      </c>
      <c r="B18" s="4" t="s">
        <v>39</v>
      </c>
      <c r="C18" s="5">
        <v>5000</v>
      </c>
      <c r="D18" s="5">
        <v>380</v>
      </c>
      <c r="E18" s="5" t="s">
        <v>16</v>
      </c>
      <c r="F18" s="5">
        <v>4</v>
      </c>
      <c r="G18" s="5">
        <v>12</v>
      </c>
      <c r="H18" s="5" t="s">
        <v>87</v>
      </c>
      <c r="I18" s="5">
        <v>56.4</v>
      </c>
      <c r="J18" s="5">
        <v>32.4</v>
      </c>
      <c r="K18" s="5">
        <v>10.1</v>
      </c>
      <c r="L18" s="5" t="s">
        <v>23</v>
      </c>
      <c r="M18" s="5" t="s">
        <v>13</v>
      </c>
      <c r="N18" s="5">
        <v>1987</v>
      </c>
      <c r="O18" s="150"/>
    </row>
    <row r="19" spans="1:17">
      <c r="A19" s="4">
        <v>14</v>
      </c>
      <c r="B19" s="4" t="s">
        <v>19</v>
      </c>
      <c r="C19" s="5">
        <v>4880</v>
      </c>
      <c r="D19" s="5">
        <v>80</v>
      </c>
      <c r="E19" s="5" t="s">
        <v>12</v>
      </c>
      <c r="F19" s="5">
        <v>3</v>
      </c>
      <c r="G19" s="5">
        <v>12</v>
      </c>
      <c r="H19" s="5" t="s">
        <v>87</v>
      </c>
      <c r="I19" s="5">
        <v>60</v>
      </c>
      <c r="J19" s="5">
        <v>32</v>
      </c>
      <c r="K19" s="5">
        <v>10.5</v>
      </c>
      <c r="L19" s="5" t="s">
        <v>20</v>
      </c>
      <c r="M19" s="5" t="s">
        <v>13</v>
      </c>
      <c r="N19" s="5">
        <v>1989</v>
      </c>
    </row>
    <row r="20" spans="1:17">
      <c r="A20" s="124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80"/>
    </row>
    <row r="21" spans="1:17" ht="16" thickBot="1">
      <c r="B21" s="141" t="s">
        <v>40</v>
      </c>
    </row>
    <row r="22" spans="1:17" ht="16" thickBot="1">
      <c r="A22" s="7"/>
      <c r="B22" s="140" t="s">
        <v>105</v>
      </c>
      <c r="C22" s="8" t="s">
        <v>73</v>
      </c>
      <c r="D22" s="81">
        <v>830</v>
      </c>
      <c r="E22" s="81" t="s">
        <v>16</v>
      </c>
      <c r="F22" s="81">
        <v>8</v>
      </c>
      <c r="G22" s="81">
        <v>16</v>
      </c>
      <c r="H22" s="81" t="s">
        <v>14</v>
      </c>
      <c r="I22" s="81">
        <v>58.7</v>
      </c>
      <c r="J22" s="81">
        <v>32.6</v>
      </c>
      <c r="K22" s="81">
        <v>9.6999999999999993</v>
      </c>
      <c r="L22" s="81" t="s">
        <v>43</v>
      </c>
      <c r="M22" s="82" t="s">
        <v>13</v>
      </c>
      <c r="N22" s="82">
        <v>2000</v>
      </c>
    </row>
    <row r="24" spans="1:17">
      <c r="Q24" s="6" t="s">
        <v>41</v>
      </c>
    </row>
    <row r="25" spans="1:17">
      <c r="B25" s="168" t="s">
        <v>96</v>
      </c>
      <c r="C25" s="84"/>
      <c r="D25" s="84"/>
      <c r="E25" s="84"/>
      <c r="F25" s="84"/>
      <c r="G25" s="84"/>
    </row>
    <row r="26" spans="1:17" ht="16" thickBot="1"/>
    <row r="27" spans="1:17" ht="15" customHeight="1">
      <c r="A27" s="200" t="s">
        <v>44</v>
      </c>
      <c r="B27" s="195" t="s">
        <v>92</v>
      </c>
      <c r="C27" s="193" t="s">
        <v>0</v>
      </c>
      <c r="D27" s="193" t="s">
        <v>145</v>
      </c>
      <c r="E27" s="202" t="s">
        <v>1</v>
      </c>
      <c r="F27" s="198" t="s">
        <v>2</v>
      </c>
      <c r="G27" s="198" t="s">
        <v>5</v>
      </c>
      <c r="H27" s="198" t="s">
        <v>6</v>
      </c>
      <c r="I27" s="198" t="s">
        <v>7</v>
      </c>
      <c r="J27" s="205" t="s">
        <v>8</v>
      </c>
    </row>
    <row r="28" spans="1:17" ht="16" thickBot="1">
      <c r="A28" s="201" t="s">
        <v>1</v>
      </c>
      <c r="B28" s="196" t="s">
        <v>1</v>
      </c>
      <c r="C28" s="194" t="s">
        <v>1</v>
      </c>
      <c r="D28" s="194" t="s">
        <v>1</v>
      </c>
      <c r="E28" s="203" t="s">
        <v>1</v>
      </c>
      <c r="F28" s="204"/>
      <c r="G28" s="204"/>
      <c r="H28" s="204"/>
      <c r="I28" s="204"/>
      <c r="J28" s="206"/>
    </row>
    <row r="29" spans="1:17">
      <c r="A29" s="1">
        <v>1</v>
      </c>
      <c r="B29" s="139" t="str">
        <f t="shared" ref="B29:C40" si="0">B6</f>
        <v>Авиаконструкторов пр. 14</v>
      </c>
      <c r="C29" s="2">
        <f>C6</f>
        <v>4400</v>
      </c>
      <c r="D29" s="88">
        <f t="shared" ref="D29:D42" si="1">1000*C29/H29</f>
        <v>75862.068965517246</v>
      </c>
      <c r="E29" s="2">
        <f>D6</f>
        <v>1500</v>
      </c>
      <c r="F29" s="9">
        <f t="shared" ref="F29:F42" si="2">IF(E6=$B$49,$C$49,IF(E6=$B$50,$C$50,IF(E6=$B$51,$C$51,"ОШИБКА!!!")))</f>
        <v>1</v>
      </c>
      <c r="G29" s="9">
        <f t="shared" ref="G29:G42" si="3">IF(H6=$E$49,$F$49,IF(H6=$E$50,$F$50,IF(H6=$E$51,$F$51,IF(H6=$E$52,$F$52,"ОШИБКА!!!"))))</f>
        <v>1</v>
      </c>
      <c r="H29" s="2">
        <v>58</v>
      </c>
      <c r="I29" s="2">
        <v>30</v>
      </c>
      <c r="J29" s="149">
        <v>11.5</v>
      </c>
      <c r="M29" s="120"/>
    </row>
    <row r="30" spans="1:17">
      <c r="A30" s="10">
        <v>2</v>
      </c>
      <c r="B30" s="4" t="str">
        <f t="shared" si="0"/>
        <v>Богатырский пр. 36</v>
      </c>
      <c r="C30" s="5">
        <f>C7</f>
        <v>5900</v>
      </c>
      <c r="D30" s="74">
        <f t="shared" si="1"/>
        <v>90769.230769230766</v>
      </c>
      <c r="E30" s="5">
        <f>D7</f>
        <v>1200</v>
      </c>
      <c r="F30" s="9">
        <f t="shared" si="2"/>
        <v>2</v>
      </c>
      <c r="G30" s="9">
        <f t="shared" si="3"/>
        <v>3</v>
      </c>
      <c r="H30" s="5">
        <v>65</v>
      </c>
      <c r="I30" s="5">
        <v>37</v>
      </c>
      <c r="J30" s="11">
        <v>9</v>
      </c>
    </row>
    <row r="31" spans="1:17">
      <c r="A31" s="10">
        <v>3</v>
      </c>
      <c r="B31" s="4" t="str">
        <f t="shared" si="0"/>
        <v>Камышовая ул. 6 к. 1</v>
      </c>
      <c r="C31" s="5">
        <f t="shared" si="0"/>
        <v>5000</v>
      </c>
      <c r="D31" s="74">
        <f t="shared" si="1"/>
        <v>94876.660341555966</v>
      </c>
      <c r="E31" s="5">
        <f t="shared" ref="E31:E40" si="4">D8</f>
        <v>440</v>
      </c>
      <c r="F31" s="9">
        <f t="shared" si="2"/>
        <v>2</v>
      </c>
      <c r="G31" s="9">
        <f t="shared" si="3"/>
        <v>1</v>
      </c>
      <c r="H31" s="5">
        <v>52.7</v>
      </c>
      <c r="I31" s="5">
        <v>29</v>
      </c>
      <c r="J31" s="11">
        <v>10.7</v>
      </c>
    </row>
    <row r="32" spans="1:17">
      <c r="A32" s="10">
        <v>4</v>
      </c>
      <c r="B32" s="4" t="str">
        <f t="shared" si="0"/>
        <v>Комендантский пр. 16 к. 1</v>
      </c>
      <c r="C32" s="5">
        <f t="shared" si="0"/>
        <v>5450</v>
      </c>
      <c r="D32" s="74">
        <f t="shared" si="1"/>
        <v>87903.225806451606</v>
      </c>
      <c r="E32" s="5">
        <f t="shared" si="4"/>
        <v>190</v>
      </c>
      <c r="F32" s="9">
        <f t="shared" si="2"/>
        <v>1</v>
      </c>
      <c r="G32" s="9">
        <f t="shared" si="3"/>
        <v>2</v>
      </c>
      <c r="H32" s="5">
        <v>62</v>
      </c>
      <c r="I32" s="5">
        <v>31.9</v>
      </c>
      <c r="J32" s="11">
        <v>12.7</v>
      </c>
    </row>
    <row r="33" spans="1:13">
      <c r="A33" s="10">
        <v>5</v>
      </c>
      <c r="B33" s="4" t="str">
        <f t="shared" si="0"/>
        <v>Комендантский пр. 21 к. 1</v>
      </c>
      <c r="C33" s="5">
        <f t="shared" si="0"/>
        <v>5800</v>
      </c>
      <c r="D33" s="74">
        <f t="shared" si="1"/>
        <v>103571.42857142857</v>
      </c>
      <c r="E33" s="5">
        <f t="shared" si="4"/>
        <v>600</v>
      </c>
      <c r="F33" s="9">
        <f t="shared" si="2"/>
        <v>2</v>
      </c>
      <c r="G33" s="9">
        <f t="shared" si="3"/>
        <v>4</v>
      </c>
      <c r="H33" s="5">
        <v>56</v>
      </c>
      <c r="I33" s="5">
        <v>30</v>
      </c>
      <c r="J33" s="11">
        <v>9</v>
      </c>
    </row>
    <row r="34" spans="1:13">
      <c r="A34" s="10">
        <v>6</v>
      </c>
      <c r="B34" s="4" t="str">
        <f t="shared" si="0"/>
        <v>Комендантский пр. 21 к. 2</v>
      </c>
      <c r="C34" s="5">
        <f t="shared" si="0"/>
        <v>4550</v>
      </c>
      <c r="D34" s="74">
        <f t="shared" si="1"/>
        <v>78448.275862068971</v>
      </c>
      <c r="E34" s="5">
        <f t="shared" si="4"/>
        <v>710</v>
      </c>
      <c r="F34" s="9">
        <f t="shared" si="2"/>
        <v>1</v>
      </c>
      <c r="G34" s="9">
        <f t="shared" si="3"/>
        <v>1</v>
      </c>
      <c r="H34" s="5">
        <v>58</v>
      </c>
      <c r="I34" s="5">
        <v>31</v>
      </c>
      <c r="J34" s="11">
        <v>7.4</v>
      </c>
    </row>
    <row r="35" spans="1:13">
      <c r="A35" s="10">
        <v>7</v>
      </c>
      <c r="B35" s="4" t="str">
        <f t="shared" si="0"/>
        <v>Комендантский пр. 21 к.2</v>
      </c>
      <c r="C35" s="5">
        <f t="shared" si="0"/>
        <v>4800</v>
      </c>
      <c r="D35" s="74">
        <f t="shared" si="1"/>
        <v>91428.571428571435</v>
      </c>
      <c r="E35" s="5">
        <f t="shared" si="4"/>
        <v>710</v>
      </c>
      <c r="F35" s="9">
        <f t="shared" si="2"/>
        <v>2</v>
      </c>
      <c r="G35" s="9">
        <f t="shared" si="3"/>
        <v>1</v>
      </c>
      <c r="H35" s="5">
        <v>52.5</v>
      </c>
      <c r="I35" s="5">
        <v>30.2</v>
      </c>
      <c r="J35" s="11">
        <v>7.8</v>
      </c>
    </row>
    <row r="36" spans="1:13">
      <c r="A36" s="10">
        <v>8</v>
      </c>
      <c r="B36" s="4" t="str">
        <f t="shared" si="0"/>
        <v>Комендантский пр. 22 к.1</v>
      </c>
      <c r="C36" s="5">
        <f t="shared" si="0"/>
        <v>4500</v>
      </c>
      <c r="D36" s="74">
        <f t="shared" si="1"/>
        <v>86538.461538461532</v>
      </c>
      <c r="E36" s="5">
        <f t="shared" si="4"/>
        <v>490</v>
      </c>
      <c r="F36" s="9">
        <f t="shared" si="2"/>
        <v>1</v>
      </c>
      <c r="G36" s="9">
        <f t="shared" si="3"/>
        <v>1</v>
      </c>
      <c r="H36" s="5">
        <v>52</v>
      </c>
      <c r="I36" s="5">
        <v>31</v>
      </c>
      <c r="J36" s="11">
        <v>8</v>
      </c>
    </row>
    <row r="37" spans="1:13">
      <c r="A37" s="10">
        <v>9</v>
      </c>
      <c r="B37" s="4" t="str">
        <f t="shared" si="0"/>
        <v>Королева пр. 47 к. 1</v>
      </c>
      <c r="C37" s="5">
        <f t="shared" si="0"/>
        <v>5500</v>
      </c>
      <c r="D37" s="74">
        <f t="shared" si="1"/>
        <v>87301.587301587308</v>
      </c>
      <c r="E37" s="5">
        <f t="shared" si="4"/>
        <v>1700</v>
      </c>
      <c r="F37" s="9">
        <f t="shared" si="2"/>
        <v>2</v>
      </c>
      <c r="G37" s="9">
        <f t="shared" si="3"/>
        <v>2</v>
      </c>
      <c r="H37" s="9">
        <v>63</v>
      </c>
      <c r="I37" s="9">
        <v>34</v>
      </c>
      <c r="J37" s="12">
        <v>13</v>
      </c>
    </row>
    <row r="38" spans="1:13">
      <c r="A38" s="10">
        <v>10</v>
      </c>
      <c r="B38" s="4" t="str">
        <f t="shared" si="0"/>
        <v>Маршала  Новикова ул. 2 к.1</v>
      </c>
      <c r="C38" s="5">
        <f t="shared" si="0"/>
        <v>4700</v>
      </c>
      <c r="D38" s="74">
        <f t="shared" si="1"/>
        <v>90909.090909090897</v>
      </c>
      <c r="E38" s="5">
        <f t="shared" si="4"/>
        <v>550</v>
      </c>
      <c r="F38" s="9">
        <f t="shared" si="2"/>
        <v>1</v>
      </c>
      <c r="G38" s="9">
        <f t="shared" si="3"/>
        <v>1</v>
      </c>
      <c r="H38" s="5">
        <v>51.7</v>
      </c>
      <c r="I38" s="5">
        <v>29.6</v>
      </c>
      <c r="J38" s="11">
        <v>7.9</v>
      </c>
    </row>
    <row r="39" spans="1:13">
      <c r="A39" s="10">
        <v>11</v>
      </c>
      <c r="B39" s="4" t="str">
        <f t="shared" si="0"/>
        <v>Сизова пр. 20 к. 1</v>
      </c>
      <c r="C39" s="5">
        <f t="shared" si="0"/>
        <v>5500</v>
      </c>
      <c r="D39" s="74">
        <f t="shared" si="1"/>
        <v>98214.28571428571</v>
      </c>
      <c r="E39" s="5">
        <f t="shared" si="4"/>
        <v>930</v>
      </c>
      <c r="F39" s="9">
        <f t="shared" si="2"/>
        <v>2</v>
      </c>
      <c r="G39" s="9">
        <f t="shared" si="3"/>
        <v>1</v>
      </c>
      <c r="H39" s="5">
        <v>56</v>
      </c>
      <c r="I39" s="5">
        <v>32.6</v>
      </c>
      <c r="J39" s="11">
        <v>10</v>
      </c>
    </row>
    <row r="40" spans="1:13">
      <c r="A40" s="10">
        <v>12</v>
      </c>
      <c r="B40" s="4" t="str">
        <f t="shared" si="0"/>
        <v>Сизова пр. 19</v>
      </c>
      <c r="C40" s="5">
        <f t="shared" si="0"/>
        <v>5800</v>
      </c>
      <c r="D40" s="74">
        <f t="shared" si="1"/>
        <v>98305.08474576271</v>
      </c>
      <c r="E40" s="5">
        <f t="shared" si="4"/>
        <v>1180</v>
      </c>
      <c r="F40" s="9">
        <f t="shared" si="2"/>
        <v>2</v>
      </c>
      <c r="G40" s="9">
        <f t="shared" si="3"/>
        <v>3</v>
      </c>
      <c r="H40" s="5">
        <v>59</v>
      </c>
      <c r="I40" s="5">
        <v>34</v>
      </c>
      <c r="J40" s="11">
        <v>10.5</v>
      </c>
    </row>
    <row r="41" spans="1:13">
      <c r="A41" s="10">
        <v>13</v>
      </c>
      <c r="B41" s="4" t="str">
        <f>B18</f>
        <v>Уточкина ул. 1 к. 1</v>
      </c>
      <c r="C41" s="5">
        <f>C18</f>
        <v>5000</v>
      </c>
      <c r="D41" s="74">
        <f t="shared" si="1"/>
        <v>88652.482269503555</v>
      </c>
      <c r="E41" s="5">
        <f>D18</f>
        <v>380</v>
      </c>
      <c r="F41" s="9">
        <f t="shared" si="2"/>
        <v>2</v>
      </c>
      <c r="G41" s="9">
        <f t="shared" si="3"/>
        <v>1</v>
      </c>
      <c r="H41" s="5">
        <v>56.4</v>
      </c>
      <c r="I41" s="5">
        <v>32.4</v>
      </c>
      <c r="J41" s="11">
        <v>10.1</v>
      </c>
    </row>
    <row r="42" spans="1:13" ht="16" thickBot="1">
      <c r="A42" s="10">
        <v>14</v>
      </c>
      <c r="B42" s="152" t="s">
        <v>19</v>
      </c>
      <c r="C42" s="106">
        <f>C19</f>
        <v>4880</v>
      </c>
      <c r="D42" s="153">
        <f t="shared" si="1"/>
        <v>81333.333333333328</v>
      </c>
      <c r="E42" s="106">
        <f>D19</f>
        <v>80</v>
      </c>
      <c r="F42" s="106">
        <f t="shared" si="2"/>
        <v>1</v>
      </c>
      <c r="G42" s="106">
        <f t="shared" si="3"/>
        <v>1</v>
      </c>
      <c r="H42" s="106">
        <v>60</v>
      </c>
      <c r="I42" s="106">
        <v>32</v>
      </c>
      <c r="J42" s="16">
        <v>10.5</v>
      </c>
      <c r="M42" s="120"/>
    </row>
    <row r="43" spans="1:13">
      <c r="A43" s="124"/>
      <c r="B43" s="151"/>
      <c r="C43" s="120"/>
      <c r="D43" s="75"/>
      <c r="E43" s="178">
        <f>CORREL($D$29:$D$42,E29:E42)</f>
        <v>-5.4671974818859388E-2</v>
      </c>
      <c r="F43" s="178">
        <f>CORREL($D$29:$D$42,F29:F42)</f>
        <v>0.70579352055542699</v>
      </c>
      <c r="G43" s="178">
        <f>CORREL($D$29:$D$42,G29:G42)</f>
        <v>0.57008497625204269</v>
      </c>
      <c r="H43" s="178">
        <f>CORREL($D$29:$D$42,H29:H42)</f>
        <v>-0.2105110339826004</v>
      </c>
      <c r="I43" s="178">
        <f>CORREL($D$29:$D$42,H29:H42)</f>
        <v>-0.2105110339826004</v>
      </c>
      <c r="J43" s="178">
        <f>CORREL($D$29:$D$42,I29:I42)</f>
        <v>6.9095217338276615E-2</v>
      </c>
      <c r="K43" s="80" t="s">
        <v>146</v>
      </c>
      <c r="L43" s="80"/>
    </row>
    <row r="44" spans="1:13" ht="16" thickBot="1">
      <c r="B44" s="141" t="s">
        <v>40</v>
      </c>
      <c r="F44" s="107"/>
      <c r="G44" s="107"/>
      <c r="H44" s="107"/>
      <c r="L44" s="20"/>
    </row>
    <row r="45" spans="1:13" ht="16" thickBot="1">
      <c r="A45" s="7"/>
      <c r="B45" s="140" t="s">
        <v>42</v>
      </c>
      <c r="C45" s="8" t="s">
        <v>73</v>
      </c>
      <c r="D45" s="13" t="s">
        <v>73</v>
      </c>
      <c r="E45" s="81">
        <v>830</v>
      </c>
      <c r="F45" s="177">
        <f>IF(E22=$B$49,$C$49,IF(E22=$B$50,$C$50,IF(E22=$B$51,$C$51,"ОШИБКА!!!")))</f>
        <v>2</v>
      </c>
      <c r="G45" s="81">
        <f>IF(H22=$E$49,$F$49,IF(H22=$E$50,$F$50,IF(H22=$E$51,$F$51,IF(H22=$E$52,$F$52,"ОШИБКА!!!"))))</f>
        <v>3</v>
      </c>
      <c r="H45" s="81">
        <v>58.7</v>
      </c>
      <c r="I45" s="81">
        <v>32.6</v>
      </c>
      <c r="J45" s="82">
        <v>9.6999999999999993</v>
      </c>
    </row>
    <row r="47" spans="1:13" ht="16" thickBot="1"/>
    <row r="48" spans="1:13">
      <c r="B48" s="207" t="s">
        <v>2</v>
      </c>
      <c r="C48" s="208"/>
      <c r="E48" s="209" t="s">
        <v>85</v>
      </c>
      <c r="F48" s="210"/>
    </row>
    <row r="49" spans="1:20">
      <c r="B49" s="10" t="s">
        <v>12</v>
      </c>
      <c r="C49" s="11">
        <v>1</v>
      </c>
      <c r="E49" s="14" t="s">
        <v>87</v>
      </c>
      <c r="F49" s="11">
        <v>1</v>
      </c>
      <c r="G49" t="s">
        <v>106</v>
      </c>
    </row>
    <row r="50" spans="1:20" ht="16" thickBot="1">
      <c r="B50" s="154" t="s">
        <v>16</v>
      </c>
      <c r="C50" s="16">
        <v>2</v>
      </c>
      <c r="E50" s="14" t="s">
        <v>88</v>
      </c>
      <c r="F50" s="11">
        <v>2</v>
      </c>
      <c r="G50" t="s">
        <v>107</v>
      </c>
    </row>
    <row r="51" spans="1:20">
      <c r="E51" s="14" t="s">
        <v>14</v>
      </c>
      <c r="F51" s="11">
        <v>3</v>
      </c>
      <c r="G51" t="s">
        <v>108</v>
      </c>
    </row>
    <row r="52" spans="1:20" ht="16" thickBot="1">
      <c r="E52" s="15" t="s">
        <v>15</v>
      </c>
      <c r="F52" s="16">
        <v>4</v>
      </c>
      <c r="G52" t="s">
        <v>109</v>
      </c>
    </row>
    <row r="56" spans="1:20" ht="31">
      <c r="A56" s="192" t="s">
        <v>90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</row>
    <row r="57" spans="1:20" ht="16" thickBot="1">
      <c r="D57" s="168" t="s">
        <v>122</v>
      </c>
    </row>
    <row r="58" spans="1:20" ht="16" thickBot="1">
      <c r="B58" s="64" t="s">
        <v>139</v>
      </c>
      <c r="D58" s="168" t="s">
        <v>121</v>
      </c>
      <c r="E58" s="84"/>
      <c r="F58" s="84"/>
      <c r="G58" s="84"/>
      <c r="H58" s="168"/>
      <c r="I58" s="84"/>
      <c r="J58" s="84"/>
    </row>
    <row r="60" spans="1:20">
      <c r="A60" s="21" t="s">
        <v>44</v>
      </c>
      <c r="B60" s="22" t="s">
        <v>45</v>
      </c>
      <c r="C60" s="22" t="s">
        <v>46</v>
      </c>
      <c r="G60" s="22" t="s">
        <v>47</v>
      </c>
      <c r="H60" s="22" t="s">
        <v>48</v>
      </c>
      <c r="I60" s="22" t="s">
        <v>49</v>
      </c>
      <c r="J60" s="22" t="s">
        <v>50</v>
      </c>
      <c r="K60" s="22" t="s">
        <v>51</v>
      </c>
      <c r="L60" s="22"/>
      <c r="M60" s="22"/>
      <c r="N60" s="22"/>
    </row>
    <row r="61" spans="1:20">
      <c r="D61" s="87" t="s">
        <v>82</v>
      </c>
      <c r="E61" s="87" t="s">
        <v>53</v>
      </c>
      <c r="G61" s="23" t="s">
        <v>54</v>
      </c>
      <c r="H61" s="23" t="s">
        <v>2</v>
      </c>
      <c r="I61" s="24" t="s">
        <v>5</v>
      </c>
      <c r="J61" s="24" t="s">
        <v>6</v>
      </c>
      <c r="K61" s="23" t="s">
        <v>8</v>
      </c>
      <c r="M61" s="3"/>
    </row>
    <row r="62" spans="1:20">
      <c r="A62" s="25">
        <f t="shared" ref="A62:A75" si="5">A29</f>
        <v>1</v>
      </c>
      <c r="B62" s="26">
        <f t="shared" ref="B62:B75" si="6">D29</f>
        <v>75862.068965517246</v>
      </c>
      <c r="C62" s="85">
        <f t="shared" ref="C62:C75" si="7">TREND($B$62:$B$75,$G$62:$K$75,G62:K62,1)</f>
        <v>79458.097049140953</v>
      </c>
      <c r="D62" s="27">
        <f t="shared" ref="D62:D75" si="8">(C62-B62)/B62</f>
        <v>4.7402188375039775E-2</v>
      </c>
      <c r="E62" s="27">
        <f t="shared" ref="E62:E75" si="9">ABS(D62)</f>
        <v>4.7402188375039775E-2</v>
      </c>
      <c r="G62" s="103">
        <f t="shared" ref="G62:G75" si="10">E29</f>
        <v>1500</v>
      </c>
      <c r="H62" s="103">
        <f t="shared" ref="H62:H75" si="11">F29</f>
        <v>1</v>
      </c>
      <c r="I62" s="103">
        <f t="shared" ref="I62:I75" si="12">G29</f>
        <v>1</v>
      </c>
      <c r="J62" s="161">
        <f t="shared" ref="J62:J75" si="13">H29</f>
        <v>58</v>
      </c>
      <c r="K62" s="161">
        <f t="shared" ref="K62:K75" si="14">J29</f>
        <v>11.5</v>
      </c>
      <c r="M62" s="3"/>
      <c r="N62" s="3"/>
      <c r="P62" s="3"/>
      <c r="T62" s="31"/>
    </row>
    <row r="63" spans="1:20">
      <c r="A63" s="25">
        <f t="shared" si="5"/>
        <v>2</v>
      </c>
      <c r="B63" s="26">
        <f t="shared" si="6"/>
        <v>90769.230769230766</v>
      </c>
      <c r="C63" s="85">
        <f t="shared" si="7"/>
        <v>90109.402110309922</v>
      </c>
      <c r="D63" s="27">
        <f t="shared" si="8"/>
        <v>-7.26929878472116E-3</v>
      </c>
      <c r="E63" s="27">
        <f t="shared" si="9"/>
        <v>7.26929878472116E-3</v>
      </c>
      <c r="G63" s="103">
        <f t="shared" si="10"/>
        <v>1200</v>
      </c>
      <c r="H63" s="103">
        <f t="shared" si="11"/>
        <v>2</v>
      </c>
      <c r="I63" s="103">
        <f t="shared" si="12"/>
        <v>3</v>
      </c>
      <c r="J63" s="161">
        <f t="shared" si="13"/>
        <v>65</v>
      </c>
      <c r="K63" s="161">
        <f t="shared" si="14"/>
        <v>9</v>
      </c>
      <c r="M63" s="3"/>
      <c r="N63" s="3"/>
      <c r="P63" s="3"/>
      <c r="T63" s="31"/>
    </row>
    <row r="64" spans="1:20">
      <c r="A64" s="25">
        <f t="shared" si="5"/>
        <v>3</v>
      </c>
      <c r="B64" s="26">
        <f t="shared" si="6"/>
        <v>94876.660341555966</v>
      </c>
      <c r="C64" s="85">
        <f t="shared" si="7"/>
        <v>96082.50070216936</v>
      </c>
      <c r="D64" s="27">
        <f t="shared" si="8"/>
        <v>1.2709557400865178E-2</v>
      </c>
      <c r="E64" s="27">
        <f t="shared" si="9"/>
        <v>1.2709557400865178E-2</v>
      </c>
      <c r="G64" s="103">
        <f t="shared" si="10"/>
        <v>440</v>
      </c>
      <c r="H64" s="103">
        <f t="shared" si="11"/>
        <v>2</v>
      </c>
      <c r="I64" s="103">
        <f t="shared" si="12"/>
        <v>1</v>
      </c>
      <c r="J64" s="161">
        <f t="shared" si="13"/>
        <v>52.7</v>
      </c>
      <c r="K64" s="161">
        <f t="shared" si="14"/>
        <v>10.7</v>
      </c>
      <c r="M64" s="3"/>
      <c r="N64" s="3"/>
      <c r="P64" s="3"/>
      <c r="T64" s="31"/>
    </row>
    <row r="65" spans="1:20">
      <c r="A65" s="25">
        <f t="shared" si="5"/>
        <v>4</v>
      </c>
      <c r="B65" s="26">
        <f t="shared" si="6"/>
        <v>87903.225806451606</v>
      </c>
      <c r="C65" s="85">
        <f t="shared" si="7"/>
        <v>85825.502433834918</v>
      </c>
      <c r="D65" s="27">
        <f t="shared" si="8"/>
        <v>-2.3636486073804534E-2</v>
      </c>
      <c r="E65" s="27">
        <f t="shared" si="9"/>
        <v>2.3636486073804534E-2</v>
      </c>
      <c r="G65" s="103">
        <f t="shared" si="10"/>
        <v>190</v>
      </c>
      <c r="H65" s="103">
        <f t="shared" si="11"/>
        <v>1</v>
      </c>
      <c r="I65" s="103">
        <f t="shared" si="12"/>
        <v>2</v>
      </c>
      <c r="J65" s="161">
        <f t="shared" si="13"/>
        <v>62</v>
      </c>
      <c r="K65" s="161">
        <f t="shared" si="14"/>
        <v>12.7</v>
      </c>
      <c r="M65" s="3"/>
      <c r="N65" s="3"/>
      <c r="P65" s="3"/>
      <c r="T65" s="31"/>
    </row>
    <row r="66" spans="1:20">
      <c r="A66" s="25">
        <f t="shared" si="5"/>
        <v>5</v>
      </c>
      <c r="B66" s="26">
        <f t="shared" si="6"/>
        <v>103571.42857142857</v>
      </c>
      <c r="C66" s="85">
        <f t="shared" si="7"/>
        <v>105579.27717851683</v>
      </c>
      <c r="D66" s="27">
        <f t="shared" si="8"/>
        <v>1.938612448223152E-2</v>
      </c>
      <c r="E66" s="27">
        <f t="shared" si="9"/>
        <v>1.938612448223152E-2</v>
      </c>
      <c r="G66" s="103">
        <f t="shared" si="10"/>
        <v>600</v>
      </c>
      <c r="H66" s="103">
        <f t="shared" si="11"/>
        <v>2</v>
      </c>
      <c r="I66" s="103">
        <f t="shared" si="12"/>
        <v>4</v>
      </c>
      <c r="J66" s="161">
        <f t="shared" si="13"/>
        <v>56</v>
      </c>
      <c r="K66" s="161">
        <f t="shared" si="14"/>
        <v>9</v>
      </c>
      <c r="M66" s="3"/>
      <c r="N66" s="3"/>
      <c r="P66" s="3"/>
      <c r="T66" s="31"/>
    </row>
    <row r="67" spans="1:20">
      <c r="A67" s="25">
        <f t="shared" si="5"/>
        <v>6</v>
      </c>
      <c r="B67" s="26">
        <f t="shared" si="6"/>
        <v>78448.275862068971</v>
      </c>
      <c r="C67" s="85">
        <f t="shared" si="7"/>
        <v>79956.946648468278</v>
      </c>
      <c r="D67" s="27">
        <f t="shared" si="8"/>
        <v>1.9231407826628528E-2</v>
      </c>
      <c r="E67" s="27">
        <f t="shared" si="9"/>
        <v>1.9231407826628528E-2</v>
      </c>
      <c r="G67" s="103">
        <f t="shared" si="10"/>
        <v>710</v>
      </c>
      <c r="H67" s="103">
        <f t="shared" si="11"/>
        <v>1</v>
      </c>
      <c r="I67" s="103">
        <f t="shared" si="12"/>
        <v>1</v>
      </c>
      <c r="J67" s="161">
        <f t="shared" si="13"/>
        <v>58</v>
      </c>
      <c r="K67" s="161">
        <f t="shared" si="14"/>
        <v>7.4</v>
      </c>
      <c r="M67" s="3"/>
      <c r="N67" s="3"/>
      <c r="P67" s="3"/>
      <c r="T67" s="31"/>
    </row>
    <row r="68" spans="1:20">
      <c r="A68" s="25">
        <f t="shared" si="5"/>
        <v>7</v>
      </c>
      <c r="B68" s="26">
        <f t="shared" si="6"/>
        <v>91428.571428571435</v>
      </c>
      <c r="C68" s="85">
        <f t="shared" si="7"/>
        <v>93621.403148000478</v>
      </c>
      <c r="D68" s="27">
        <f t="shared" si="8"/>
        <v>2.3984096931255156E-2</v>
      </c>
      <c r="E68" s="27">
        <f t="shared" si="9"/>
        <v>2.3984096931255156E-2</v>
      </c>
      <c r="G68" s="103">
        <f t="shared" si="10"/>
        <v>710</v>
      </c>
      <c r="H68" s="103">
        <f t="shared" si="11"/>
        <v>2</v>
      </c>
      <c r="I68" s="103">
        <f t="shared" si="12"/>
        <v>1</v>
      </c>
      <c r="J68" s="161">
        <f t="shared" si="13"/>
        <v>52.5</v>
      </c>
      <c r="K68" s="161">
        <f t="shared" si="14"/>
        <v>7.8</v>
      </c>
      <c r="M68" s="3"/>
      <c r="N68" s="3"/>
      <c r="P68" s="3"/>
      <c r="T68" s="31"/>
    </row>
    <row r="69" spans="1:20">
      <c r="A69" s="25">
        <f t="shared" si="5"/>
        <v>8</v>
      </c>
      <c r="B69" s="26">
        <f t="shared" si="6"/>
        <v>86538.461538461532</v>
      </c>
      <c r="C69" s="85">
        <f t="shared" si="7"/>
        <v>86808.916957789406</v>
      </c>
      <c r="D69" s="27">
        <f t="shared" si="8"/>
        <v>3.1252626233443286E-3</v>
      </c>
      <c r="E69" s="27">
        <f t="shared" si="9"/>
        <v>3.1252626233443286E-3</v>
      </c>
      <c r="G69" s="103">
        <f t="shared" si="10"/>
        <v>490</v>
      </c>
      <c r="H69" s="103">
        <f t="shared" si="11"/>
        <v>1</v>
      </c>
      <c r="I69" s="103">
        <f t="shared" si="12"/>
        <v>1</v>
      </c>
      <c r="J69" s="161">
        <f t="shared" si="13"/>
        <v>52</v>
      </c>
      <c r="K69" s="161">
        <f t="shared" si="14"/>
        <v>8</v>
      </c>
      <c r="M69" s="3"/>
      <c r="N69" s="3"/>
      <c r="P69" s="3"/>
      <c r="T69" s="31"/>
    </row>
    <row r="70" spans="1:20">
      <c r="A70" s="25">
        <f t="shared" si="5"/>
        <v>9</v>
      </c>
      <c r="B70" s="26">
        <f t="shared" si="6"/>
        <v>87301.587301587308</v>
      </c>
      <c r="C70" s="85">
        <f t="shared" si="7"/>
        <v>87774.591074580036</v>
      </c>
      <c r="D70" s="27">
        <f t="shared" si="8"/>
        <v>5.4180432179167029E-3</v>
      </c>
      <c r="E70" s="27">
        <f t="shared" si="9"/>
        <v>5.4180432179167029E-3</v>
      </c>
      <c r="G70" s="103">
        <f t="shared" si="10"/>
        <v>1700</v>
      </c>
      <c r="H70" s="103">
        <f t="shared" si="11"/>
        <v>2</v>
      </c>
      <c r="I70" s="103">
        <f t="shared" si="12"/>
        <v>2</v>
      </c>
      <c r="J70" s="161">
        <f t="shared" si="13"/>
        <v>63</v>
      </c>
      <c r="K70" s="161">
        <f t="shared" si="14"/>
        <v>13</v>
      </c>
      <c r="M70" s="3"/>
      <c r="N70" s="3"/>
      <c r="P70" s="3"/>
      <c r="T70" s="31"/>
    </row>
    <row r="71" spans="1:20">
      <c r="A71" s="25">
        <f t="shared" si="5"/>
        <v>10</v>
      </c>
      <c r="B71" s="26">
        <f t="shared" si="6"/>
        <v>90909.090909090897</v>
      </c>
      <c r="C71" s="85">
        <f t="shared" si="7"/>
        <v>86819.168095752408</v>
      </c>
      <c r="D71" s="27">
        <f t="shared" si="8"/>
        <v>-4.4989150946723393E-2</v>
      </c>
      <c r="E71" s="27">
        <f t="shared" si="9"/>
        <v>4.4989150946723393E-2</v>
      </c>
      <c r="G71" s="103">
        <f t="shared" si="10"/>
        <v>550</v>
      </c>
      <c r="H71" s="103">
        <f t="shared" si="11"/>
        <v>1</v>
      </c>
      <c r="I71" s="103">
        <f t="shared" si="12"/>
        <v>1</v>
      </c>
      <c r="J71" s="161">
        <f t="shared" si="13"/>
        <v>51.7</v>
      </c>
      <c r="K71" s="161">
        <f t="shared" si="14"/>
        <v>7.9</v>
      </c>
      <c r="M71" s="3"/>
      <c r="N71" s="3"/>
      <c r="P71" s="3"/>
      <c r="T71" s="31"/>
    </row>
    <row r="72" spans="1:20">
      <c r="A72" s="25">
        <f t="shared" si="5"/>
        <v>11</v>
      </c>
      <c r="B72" s="26">
        <f t="shared" si="6"/>
        <v>98214.28571428571</v>
      </c>
      <c r="C72" s="85">
        <f t="shared" si="7"/>
        <v>90762.930434343609</v>
      </c>
      <c r="D72" s="27">
        <f t="shared" si="8"/>
        <v>-7.5868344668501397E-2</v>
      </c>
      <c r="E72" s="27">
        <f t="shared" si="9"/>
        <v>7.5868344668501397E-2</v>
      </c>
      <c r="G72" s="103">
        <f t="shared" si="10"/>
        <v>930</v>
      </c>
      <c r="H72" s="103">
        <f t="shared" si="11"/>
        <v>2</v>
      </c>
      <c r="I72" s="103">
        <f t="shared" si="12"/>
        <v>1</v>
      </c>
      <c r="J72" s="161">
        <f t="shared" si="13"/>
        <v>56</v>
      </c>
      <c r="K72" s="161">
        <f t="shared" si="14"/>
        <v>10</v>
      </c>
      <c r="M72" s="3"/>
      <c r="N72" s="3"/>
      <c r="P72" s="3"/>
      <c r="T72" s="31"/>
    </row>
    <row r="73" spans="1:20">
      <c r="A73" s="25">
        <f t="shared" si="5"/>
        <v>12</v>
      </c>
      <c r="B73" s="26">
        <f t="shared" si="6"/>
        <v>98305.08474576271</v>
      </c>
      <c r="C73" s="85">
        <f t="shared" si="7"/>
        <v>96755.500293863253</v>
      </c>
      <c r="D73" s="27">
        <f t="shared" si="8"/>
        <v>-1.5763014252080678E-2</v>
      </c>
      <c r="E73" s="27">
        <f t="shared" si="9"/>
        <v>1.5763014252080678E-2</v>
      </c>
      <c r="G73" s="103">
        <f t="shared" si="10"/>
        <v>1180</v>
      </c>
      <c r="H73" s="103">
        <f t="shared" si="11"/>
        <v>2</v>
      </c>
      <c r="I73" s="103">
        <f t="shared" si="12"/>
        <v>3</v>
      </c>
      <c r="J73" s="161">
        <f t="shared" si="13"/>
        <v>59</v>
      </c>
      <c r="K73" s="161">
        <f t="shared" si="14"/>
        <v>10.5</v>
      </c>
      <c r="M73" s="3"/>
      <c r="N73" s="3"/>
      <c r="P73" s="3"/>
      <c r="T73" s="31"/>
    </row>
    <row r="74" spans="1:20">
      <c r="A74" s="25">
        <f t="shared" si="5"/>
        <v>13</v>
      </c>
      <c r="B74" s="26">
        <f t="shared" si="6"/>
        <v>88652.482269503555</v>
      </c>
      <c r="C74" s="85">
        <f t="shared" si="7"/>
        <v>92433.726200142686</v>
      </c>
      <c r="D74" s="27">
        <f t="shared" si="8"/>
        <v>4.2652431537609399E-2</v>
      </c>
      <c r="E74" s="27">
        <f t="shared" si="9"/>
        <v>4.2652431537609399E-2</v>
      </c>
      <c r="G74" s="103">
        <f t="shared" si="10"/>
        <v>380</v>
      </c>
      <c r="H74" s="103">
        <f t="shared" si="11"/>
        <v>2</v>
      </c>
      <c r="I74" s="103">
        <f t="shared" si="12"/>
        <v>1</v>
      </c>
      <c r="J74" s="161">
        <f t="shared" si="13"/>
        <v>56.4</v>
      </c>
      <c r="K74" s="161">
        <f t="shared" si="14"/>
        <v>10.1</v>
      </c>
      <c r="M74" s="3"/>
      <c r="N74" s="3"/>
      <c r="P74" s="3"/>
      <c r="T74" s="31"/>
    </row>
    <row r="75" spans="1:20">
      <c r="A75" s="25">
        <f t="shared" si="5"/>
        <v>14</v>
      </c>
      <c r="B75" s="33">
        <f t="shared" si="6"/>
        <v>81333.333333333328</v>
      </c>
      <c r="C75" s="86">
        <f t="shared" si="7"/>
        <v>82125.82522993772</v>
      </c>
      <c r="D75" s="34">
        <f t="shared" si="8"/>
        <v>9.7437528271031755E-3</v>
      </c>
      <c r="E75" s="34">
        <f t="shared" si="9"/>
        <v>9.7437528271031755E-3</v>
      </c>
      <c r="G75" s="103">
        <f t="shared" si="10"/>
        <v>80</v>
      </c>
      <c r="H75" s="103">
        <f t="shared" si="11"/>
        <v>1</v>
      </c>
      <c r="I75" s="103">
        <f t="shared" si="12"/>
        <v>1</v>
      </c>
      <c r="J75" s="161">
        <f t="shared" si="13"/>
        <v>60</v>
      </c>
      <c r="K75" s="161">
        <f t="shared" si="14"/>
        <v>10.5</v>
      </c>
      <c r="M75" s="3"/>
      <c r="N75" s="3"/>
      <c r="P75" s="3"/>
      <c r="T75" s="31"/>
    </row>
    <row r="76" spans="1:20">
      <c r="A76" s="169"/>
      <c r="B76" s="111"/>
      <c r="C76" s="112"/>
      <c r="D76" s="78" t="s">
        <v>56</v>
      </c>
      <c r="E76" s="36">
        <f>AVERAGE(E62:E75)</f>
        <v>2.5084225710558922E-2</v>
      </c>
      <c r="K76" s="19"/>
      <c r="M76" s="3"/>
      <c r="N76" s="3"/>
      <c r="P76" s="3"/>
      <c r="T76" s="31"/>
    </row>
    <row r="77" spans="1:20">
      <c r="A77" s="25"/>
      <c r="B77" s="95" t="s">
        <v>89</v>
      </c>
      <c r="C77" s="112"/>
      <c r="D77" s="79" t="s">
        <v>57</v>
      </c>
      <c r="E77" s="37">
        <f>MAX(E62:E75)</f>
        <v>7.5868344668501397E-2</v>
      </c>
      <c r="N77" s="3"/>
      <c r="P77" s="3"/>
      <c r="T77" s="31"/>
    </row>
    <row r="78" spans="1:20">
      <c r="B78" s="96">
        <f>TREND($B$62:$B$75,$G$62:$K$75,G78:K78,1)</f>
        <v>97848.202804487912</v>
      </c>
      <c r="F78" s="155" t="s">
        <v>111</v>
      </c>
      <c r="G78" s="103">
        <f>E45</f>
        <v>830</v>
      </c>
      <c r="H78" s="103">
        <f>F45</f>
        <v>2</v>
      </c>
      <c r="I78" s="103">
        <f>G45</f>
        <v>3</v>
      </c>
      <c r="J78" s="103">
        <f>H45</f>
        <v>58.7</v>
      </c>
      <c r="K78" s="104">
        <f>J45</f>
        <v>9.6999999999999993</v>
      </c>
      <c r="M78" s="3"/>
      <c r="N78" s="3"/>
      <c r="P78" s="3"/>
      <c r="T78" s="31"/>
    </row>
    <row r="79" spans="1:20">
      <c r="M79" s="3"/>
      <c r="N79" s="3"/>
      <c r="P79" s="3"/>
      <c r="T79" s="31"/>
    </row>
    <row r="80" spans="1:20">
      <c r="M80" s="3"/>
      <c r="N80" s="3"/>
      <c r="P80" s="3"/>
      <c r="T80" s="31"/>
    </row>
    <row r="81" spans="2:24">
      <c r="C81" s="78"/>
      <c r="M81" s="3"/>
    </row>
    <row r="82" spans="2:24">
      <c r="B82" s="122"/>
    </row>
    <row r="83" spans="2:24">
      <c r="C83" s="24" t="s">
        <v>98</v>
      </c>
      <c r="D83" s="35"/>
      <c r="E83" s="38"/>
      <c r="G83" s="24"/>
      <c r="I83" s="123"/>
      <c r="J83" s="39" t="s">
        <v>58</v>
      </c>
    </row>
    <row r="84" spans="2:24">
      <c r="C84" s="28"/>
      <c r="D84" s="23" t="s">
        <v>8</v>
      </c>
      <c r="E84" s="119" t="s">
        <v>6</v>
      </c>
      <c r="F84" s="40" t="s">
        <v>5</v>
      </c>
      <c r="G84" s="40" t="s">
        <v>2</v>
      </c>
      <c r="H84" s="40" t="s">
        <v>54</v>
      </c>
      <c r="J84" s="29"/>
      <c r="K84" s="32"/>
    </row>
    <row r="85" spans="2:24">
      <c r="C85" s="125"/>
      <c r="D85" s="41" t="s">
        <v>60</v>
      </c>
      <c r="E85" s="41" t="s">
        <v>61</v>
      </c>
      <c r="F85" s="41" t="s">
        <v>62</v>
      </c>
      <c r="G85" s="41" t="s">
        <v>63</v>
      </c>
      <c r="H85" s="41" t="s">
        <v>64</v>
      </c>
      <c r="I85" s="156" t="s">
        <v>65</v>
      </c>
      <c r="J85" s="58"/>
      <c r="K85" s="32"/>
    </row>
    <row r="86" spans="2:24">
      <c r="C86" s="32"/>
      <c r="D86" s="42">
        <f t="array" ref="D86:I90">LINEST(B62:B75,G62:K75,1,1)</f>
        <v>576.78036230364296</v>
      </c>
      <c r="E86" s="43">
        <v>-951.40503248562629</v>
      </c>
      <c r="F86" s="43">
        <v>4732.3064203130252</v>
      </c>
      <c r="G86" s="43">
        <v>8201.0166759397925</v>
      </c>
      <c r="H86" s="43">
        <v>-3.6248722592053895</v>
      </c>
      <c r="I86" s="43">
        <v>120510.60005937066</v>
      </c>
      <c r="J86" s="162"/>
      <c r="K86" s="32"/>
    </row>
    <row r="87" spans="2:24">
      <c r="C87" s="32"/>
      <c r="D87" s="44">
        <v>746.66699370928723</v>
      </c>
      <c r="E87" s="45">
        <v>368.11708088381147</v>
      </c>
      <c r="F87" s="45">
        <v>1369.0543623601718</v>
      </c>
      <c r="G87" s="45">
        <v>2485.822497738528</v>
      </c>
      <c r="H87" s="45">
        <v>2.5561525894439341</v>
      </c>
      <c r="I87" s="45">
        <v>17812.320081372232</v>
      </c>
      <c r="J87" s="162"/>
      <c r="K87" s="32"/>
    </row>
    <row r="88" spans="2:24">
      <c r="C88" s="56" t="s">
        <v>66</v>
      </c>
      <c r="D88" s="46">
        <v>0.84585327794961862</v>
      </c>
      <c r="E88" s="45">
        <v>3875.0473484050003</v>
      </c>
      <c r="F88" s="47" t="e">
        <v>#N/A</v>
      </c>
      <c r="G88" s="48" t="e">
        <v>#N/A</v>
      </c>
      <c r="H88" s="48" t="e">
        <v>#N/A</v>
      </c>
      <c r="I88" s="48" t="e">
        <v>#N/A</v>
      </c>
      <c r="J88" s="162"/>
      <c r="K88" s="32"/>
    </row>
    <row r="89" spans="2:24">
      <c r="C89" s="32"/>
      <c r="D89" s="50">
        <v>8.7797212079349674</v>
      </c>
      <c r="E89" s="51">
        <v>8</v>
      </c>
      <c r="F89" s="52" t="e">
        <v>#N/A</v>
      </c>
      <c r="G89" s="51" t="e">
        <v>#N/A</v>
      </c>
      <c r="H89" s="51" t="e">
        <v>#N/A</v>
      </c>
      <c r="I89" s="51" t="e">
        <v>#N/A</v>
      </c>
      <c r="J89" s="162"/>
      <c r="K89" s="32"/>
    </row>
    <row r="90" spans="2:24">
      <c r="C90" s="32"/>
      <c r="D90" s="53">
        <v>659181115.01248479</v>
      </c>
      <c r="E90" s="54">
        <v>120127935.61904499</v>
      </c>
      <c r="F90" s="53" t="e">
        <v>#N/A</v>
      </c>
      <c r="G90" s="55" t="e">
        <v>#N/A</v>
      </c>
      <c r="H90" s="55" t="e">
        <v>#N/A</v>
      </c>
      <c r="I90" s="55" t="e">
        <v>#N/A</v>
      </c>
      <c r="J90" s="162"/>
      <c r="K90" s="32"/>
    </row>
    <row r="91" spans="2:24">
      <c r="C91" s="32"/>
      <c r="J91" s="58"/>
      <c r="K91" s="32"/>
    </row>
    <row r="92" spans="2:24">
      <c r="B92" s="57" t="s">
        <v>125</v>
      </c>
      <c r="C92" s="56" t="s">
        <v>68</v>
      </c>
      <c r="D92" s="58">
        <f t="shared" ref="D92:H92" si="15">ABS(D86/D87)</f>
        <v>0.77247336116776422</v>
      </c>
      <c r="E92" s="58">
        <f t="shared" si="15"/>
        <v>2.5845174861253386</v>
      </c>
      <c r="F92" s="58">
        <f t="shared" si="15"/>
        <v>3.456624185583689</v>
      </c>
      <c r="G92" s="58">
        <f t="shared" si="15"/>
        <v>3.2991159599692459</v>
      </c>
      <c r="H92" s="58">
        <f t="shared" si="15"/>
        <v>1.4180969767512763</v>
      </c>
      <c r="I92" s="58"/>
      <c r="J92" s="58"/>
      <c r="K92" s="32"/>
      <c r="X92" s="18"/>
    </row>
    <row r="93" spans="2:24">
      <c r="B93" s="57" t="s">
        <v>69</v>
      </c>
      <c r="C93" s="56" t="s">
        <v>70</v>
      </c>
      <c r="D93" s="58">
        <f t="shared" ref="D93:H93" si="16">TDIST(D92,$E$89,1)</f>
        <v>0.23102150822753836</v>
      </c>
      <c r="E93" s="58">
        <f t="shared" si="16"/>
        <v>1.619400341642234E-2</v>
      </c>
      <c r="F93" s="58">
        <f t="shared" si="16"/>
        <v>4.305221750420047E-3</v>
      </c>
      <c r="G93" s="58">
        <f t="shared" si="16"/>
        <v>5.4365873709413988E-3</v>
      </c>
      <c r="H93" s="58">
        <f t="shared" si="16"/>
        <v>9.6958958757113661E-2</v>
      </c>
      <c r="I93" s="58"/>
      <c r="J93" s="58"/>
      <c r="K93" s="32"/>
    </row>
    <row r="94" spans="2:24">
      <c r="C94" s="56" t="s">
        <v>71</v>
      </c>
      <c r="D94" s="117">
        <f t="shared" ref="D94:H94" si="17">1-D93</f>
        <v>0.76897849177246158</v>
      </c>
      <c r="E94" s="121">
        <f t="shared" si="17"/>
        <v>0.9838059965835777</v>
      </c>
      <c r="F94" s="121">
        <f t="shared" si="17"/>
        <v>0.99569477824957997</v>
      </c>
      <c r="G94" s="121">
        <f t="shared" si="17"/>
        <v>0.99456341262905856</v>
      </c>
      <c r="H94" s="116">
        <f t="shared" si="17"/>
        <v>0.90304104124288631</v>
      </c>
      <c r="I94" s="116"/>
      <c r="J94" s="93"/>
      <c r="K94" s="32"/>
    </row>
    <row r="95" spans="2:24">
      <c r="C95" s="56" t="s">
        <v>72</v>
      </c>
      <c r="D95" s="23" t="s">
        <v>74</v>
      </c>
      <c r="E95" s="23" t="s">
        <v>74</v>
      </c>
      <c r="F95" s="23" t="s">
        <v>74</v>
      </c>
      <c r="G95" s="23" t="s">
        <v>74</v>
      </c>
      <c r="H95" s="23" t="s">
        <v>74</v>
      </c>
      <c r="I95" s="23"/>
      <c r="J95" s="23"/>
      <c r="K95" s="32"/>
    </row>
    <row r="96" spans="2:24">
      <c r="C96" s="60" t="s">
        <v>75</v>
      </c>
      <c r="D96" s="61"/>
      <c r="E96" s="62">
        <f>E90/(E89+1)</f>
        <v>13347548.402116111</v>
      </c>
      <c r="F96" s="35"/>
      <c r="G96" s="35"/>
      <c r="H96" s="35"/>
      <c r="I96" s="35"/>
      <c r="J96" s="35"/>
      <c r="K96" s="32"/>
    </row>
    <row r="97" spans="1:125">
      <c r="C97" s="89"/>
      <c r="D97" s="23"/>
      <c r="E97" s="90"/>
    </row>
    <row r="98" spans="1:125">
      <c r="B98" s="130" t="s">
        <v>116</v>
      </c>
      <c r="C98" s="131"/>
      <c r="D98" s="132"/>
      <c r="E98" s="131"/>
      <c r="F98" s="131"/>
      <c r="G98" s="131"/>
      <c r="H98" s="131"/>
      <c r="I98" s="131"/>
      <c r="J98" s="131"/>
      <c r="K98" s="131"/>
      <c r="L98" s="32"/>
    </row>
    <row r="99" spans="1:125">
      <c r="B99" s="133" t="s">
        <v>123</v>
      </c>
      <c r="C99" s="134"/>
      <c r="D99" s="135"/>
      <c r="E99" s="136"/>
      <c r="F99" s="136"/>
      <c r="G99" s="136"/>
      <c r="H99" s="136"/>
      <c r="I99" s="136"/>
      <c r="J99" s="136"/>
      <c r="K99" s="137"/>
    </row>
    <row r="100" spans="1:125">
      <c r="B100" s="126"/>
      <c r="C100" s="127"/>
      <c r="D100" s="128"/>
      <c r="E100" s="129"/>
      <c r="F100" s="129"/>
      <c r="G100" s="129"/>
      <c r="H100" s="129"/>
      <c r="I100" s="129"/>
      <c r="J100" s="129"/>
      <c r="K100" s="129"/>
    </row>
    <row r="102" spans="1:125" ht="31">
      <c r="A102" s="192" t="s">
        <v>81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BG102" s="89"/>
      <c r="BH102" s="19"/>
    </row>
    <row r="103" spans="1:125" ht="16" thickBot="1">
      <c r="E103" s="38"/>
      <c r="BG103" s="92"/>
      <c r="BH103" s="63"/>
    </row>
    <row r="104" spans="1:125" ht="16" thickBot="1">
      <c r="B104" s="64" t="s">
        <v>76</v>
      </c>
      <c r="D104" s="65" t="s">
        <v>112</v>
      </c>
      <c r="E104" s="66"/>
      <c r="F104" s="66"/>
      <c r="G104" s="66"/>
      <c r="H104" s="66"/>
      <c r="I104" s="66"/>
      <c r="J104" s="66"/>
      <c r="K104" s="66"/>
      <c r="L104" s="66"/>
      <c r="BG104" s="91"/>
      <c r="BH104" s="63"/>
    </row>
    <row r="105" spans="1:125">
      <c r="D105" s="66" t="s">
        <v>99</v>
      </c>
    </row>
    <row r="106" spans="1:125">
      <c r="C106" s="67"/>
      <c r="AD106" s="80" t="s">
        <v>147</v>
      </c>
      <c r="AE106" s="80"/>
      <c r="AF106" s="80"/>
      <c r="AG106" s="80"/>
      <c r="AH106" s="80"/>
      <c r="AI106" s="80"/>
      <c r="AJ106" s="80"/>
      <c r="AK106" s="80"/>
    </row>
    <row r="107" spans="1:125">
      <c r="C107" s="67"/>
      <c r="D107" s="68" t="s">
        <v>120</v>
      </c>
      <c r="G107" s="68"/>
      <c r="H107" s="68"/>
      <c r="I107" s="68"/>
      <c r="AD107" s="80" t="s">
        <v>148</v>
      </c>
      <c r="AE107" s="80"/>
      <c r="AF107" s="80"/>
      <c r="AG107" s="80"/>
      <c r="AH107" s="80"/>
      <c r="AI107" s="80"/>
      <c r="AJ107" s="80"/>
      <c r="AK107" s="80"/>
    </row>
    <row r="108" spans="1:125">
      <c r="C108" s="67"/>
      <c r="D108" s="68" t="s">
        <v>113</v>
      </c>
      <c r="G108" s="68"/>
      <c r="H108" s="68"/>
      <c r="I108" s="68"/>
    </row>
    <row r="109" spans="1:125">
      <c r="D109" s="68" t="s">
        <v>124</v>
      </c>
      <c r="G109" s="68"/>
      <c r="H109" s="68"/>
      <c r="I109" s="68"/>
      <c r="P109" s="184" t="s">
        <v>54</v>
      </c>
      <c r="Q109" s="184"/>
      <c r="R109" s="184"/>
      <c r="AD109" s="184" t="s">
        <v>2</v>
      </c>
      <c r="AE109" s="184"/>
      <c r="AF109" s="184"/>
      <c r="AQ109" s="184" t="s">
        <v>6</v>
      </c>
      <c r="AR109" s="184"/>
      <c r="AS109" s="184"/>
      <c r="DR109" s="185" t="s">
        <v>55</v>
      </c>
      <c r="DS109" s="185"/>
      <c r="DT109" s="185"/>
    </row>
    <row r="110" spans="1:125" ht="44">
      <c r="A110" s="21" t="s">
        <v>44</v>
      </c>
      <c r="B110" s="22" t="s">
        <v>45</v>
      </c>
      <c r="C110" s="22" t="s">
        <v>46</v>
      </c>
      <c r="G110" s="22" t="s">
        <v>47</v>
      </c>
      <c r="H110" s="22" t="s">
        <v>48</v>
      </c>
      <c r="I110" s="22" t="s">
        <v>49</v>
      </c>
      <c r="J110" s="22" t="s">
        <v>50</v>
      </c>
      <c r="K110" s="22" t="s">
        <v>51</v>
      </c>
      <c r="L110" s="22"/>
      <c r="M110" s="22"/>
      <c r="N110" s="22"/>
      <c r="P110" s="186" t="s">
        <v>77</v>
      </c>
      <c r="Q110" s="211" t="s">
        <v>86</v>
      </c>
      <c r="R110" s="213" t="s">
        <v>84</v>
      </c>
      <c r="S110" s="211" t="s">
        <v>151</v>
      </c>
      <c r="AD110" s="182" t="s">
        <v>77</v>
      </c>
      <c r="AE110" s="182" t="s">
        <v>86</v>
      </c>
      <c r="AF110" s="212" t="s">
        <v>78</v>
      </c>
      <c r="AQ110" s="146" t="s">
        <v>77</v>
      </c>
      <c r="AR110" s="146" t="s">
        <v>86</v>
      </c>
      <c r="AS110" s="146" t="s">
        <v>78</v>
      </c>
      <c r="DR110" s="182" t="s">
        <v>77</v>
      </c>
      <c r="DS110" s="182" t="s">
        <v>83</v>
      </c>
      <c r="DT110" s="182" t="s">
        <v>78</v>
      </c>
    </row>
    <row r="111" spans="1:125" ht="17.25" customHeight="1">
      <c r="D111" s="87" t="s">
        <v>52</v>
      </c>
      <c r="E111" s="87" t="s">
        <v>53</v>
      </c>
      <c r="G111" s="23" t="s">
        <v>54</v>
      </c>
      <c r="H111" s="23" t="s">
        <v>2</v>
      </c>
      <c r="I111" s="24" t="s">
        <v>5</v>
      </c>
      <c r="J111" s="24" t="s">
        <v>6</v>
      </c>
      <c r="K111" s="23" t="s">
        <v>8</v>
      </c>
      <c r="L111" s="23"/>
      <c r="M111" s="69"/>
      <c r="P111" s="187"/>
      <c r="Q111" s="212"/>
      <c r="R111" s="214"/>
      <c r="S111" s="212"/>
      <c r="AD111" s="183"/>
      <c r="AE111" s="183"/>
      <c r="AF111" s="215"/>
      <c r="AQ111" s="147"/>
      <c r="AR111" s="147"/>
      <c r="AS111" s="147"/>
      <c r="DR111" s="183"/>
      <c r="DS111" s="183"/>
      <c r="DT111" s="183"/>
    </row>
    <row r="112" spans="1:125">
      <c r="A112" s="25">
        <f t="shared" ref="A112:A125" si="18">A29</f>
        <v>1</v>
      </c>
      <c r="B112" s="26">
        <f t="shared" ref="B112:B125" si="19">D29</f>
        <v>75862.068965517246</v>
      </c>
      <c r="C112" s="85">
        <f t="shared" ref="C112:C125" si="20">TREND($B$112:$B$125,$G$112:$K$125,G112:K112,1)</f>
        <v>79458.097049140953</v>
      </c>
      <c r="D112" s="27">
        <f t="shared" ref="D112:D125" si="21">(C112-B112)/B112</f>
        <v>4.7402188375039775E-2</v>
      </c>
      <c r="E112" s="27">
        <f t="shared" ref="E112:E125" si="22">ABS(D112)</f>
        <v>4.7402188375039775E-2</v>
      </c>
      <c r="G112" s="97">
        <f>VLOOKUP(P112,$Q$112:$R$124,2,0)</f>
        <v>1500</v>
      </c>
      <c r="H112" s="97">
        <f>VLOOKUP(AD112,$AE$112:$AF$114,2,0)</f>
        <v>1</v>
      </c>
      <c r="I112" s="114">
        <f>VLOOKUP(AD132,$AE$132:$AF$135,2,0)</f>
        <v>1</v>
      </c>
      <c r="J112" s="98">
        <f t="shared" ref="J112:J125" si="23">VLOOKUP(AQ112,$AR$112:$AS$123,2,0)</f>
        <v>58</v>
      </c>
      <c r="K112" s="99">
        <f>VLOOKUP(AQ134,$AR$134:$AS$145,2,0)</f>
        <v>11.5</v>
      </c>
      <c r="M112" s="22"/>
      <c r="N112" s="3"/>
      <c r="O112" s="3"/>
      <c r="P112" s="18">
        <f>E29</f>
        <v>1500</v>
      </c>
      <c r="Q112" s="18">
        <v>80</v>
      </c>
      <c r="R112">
        <v>80</v>
      </c>
      <c r="S112" s="18">
        <f t="shared" ref="S112:S122" si="24">R113</f>
        <v>190</v>
      </c>
      <c r="AD112">
        <f t="shared" ref="AD112:AD123" si="25">H62</f>
        <v>1</v>
      </c>
      <c r="AE112">
        <v>1</v>
      </c>
      <c r="AF112">
        <v>1</v>
      </c>
      <c r="AQ112" s="17">
        <f t="shared" ref="AQ112:AQ125" si="26">H29</f>
        <v>58</v>
      </c>
      <c r="AR112" s="70">
        <v>58</v>
      </c>
      <c r="AS112" s="70">
        <v>58</v>
      </c>
      <c r="AT112" s="17">
        <f t="shared" ref="AT112:AT122" si="27">AS113</f>
        <v>51.7</v>
      </c>
      <c r="DR112" s="30">
        <v>0.28000000000000003</v>
      </c>
      <c r="DS112" s="30">
        <v>0.22</v>
      </c>
      <c r="DT112" s="30">
        <v>0.22</v>
      </c>
      <c r="DU112" s="20">
        <f t="shared" ref="DU112:DU120" si="28">DT113</f>
        <v>0.23</v>
      </c>
    </row>
    <row r="113" spans="1:125">
      <c r="A113" s="25">
        <f t="shared" si="18"/>
        <v>2</v>
      </c>
      <c r="B113" s="26">
        <f t="shared" si="19"/>
        <v>90769.230769230766</v>
      </c>
      <c r="C113" s="85">
        <f t="shared" si="20"/>
        <v>90109.402110309922</v>
      </c>
      <c r="D113" s="27">
        <f t="shared" si="21"/>
        <v>-7.26929878472116E-3</v>
      </c>
      <c r="E113" s="27">
        <f t="shared" si="22"/>
        <v>7.26929878472116E-3</v>
      </c>
      <c r="G113" s="97">
        <f t="shared" ref="G113:G125" si="29">VLOOKUP(P113,$Q$112:$R$125,2,0)</f>
        <v>1200</v>
      </c>
      <c r="H113" s="97">
        <f t="shared" ref="H113:H125" si="30">VLOOKUP(AD113,$AE$112:$AF$114,2,0)</f>
        <v>2</v>
      </c>
      <c r="I113" s="114">
        <f t="shared" ref="I113:I125" si="31">VLOOKUP(AD133,$AE$132:$AF$135,2,0)</f>
        <v>3</v>
      </c>
      <c r="J113" s="98">
        <f t="shared" si="23"/>
        <v>65</v>
      </c>
      <c r="K113" s="99">
        <f t="shared" ref="K113:K125" si="32">VLOOKUP(AQ135,$AR$134:$AS$145,2,0)</f>
        <v>9</v>
      </c>
      <c r="M113" s="22"/>
      <c r="N113" s="3"/>
      <c r="O113" s="3"/>
      <c r="P113" s="18">
        <f t="shared" ref="P113:P125" si="33">E30</f>
        <v>1200</v>
      </c>
      <c r="Q113" s="18">
        <v>190</v>
      </c>
      <c r="R113" s="18">
        <v>190</v>
      </c>
      <c r="S113" s="18">
        <f t="shared" si="24"/>
        <v>380</v>
      </c>
      <c r="AD113">
        <f t="shared" si="25"/>
        <v>2</v>
      </c>
      <c r="AE113">
        <v>2</v>
      </c>
      <c r="AF113">
        <v>2</v>
      </c>
      <c r="AQ113" s="17">
        <f t="shared" si="26"/>
        <v>65</v>
      </c>
      <c r="AR113" s="17">
        <v>51.7</v>
      </c>
      <c r="AS113" s="17">
        <v>51.7</v>
      </c>
      <c r="AT113" s="17">
        <f t="shared" si="27"/>
        <v>52</v>
      </c>
      <c r="DR113" s="20">
        <v>0.23</v>
      </c>
      <c r="DS113" s="20">
        <v>0.23</v>
      </c>
      <c r="DT113" s="20">
        <v>0.23</v>
      </c>
      <c r="DU113" s="20">
        <f t="shared" si="28"/>
        <v>0.24</v>
      </c>
    </row>
    <row r="114" spans="1:125">
      <c r="A114" s="25">
        <f t="shared" si="18"/>
        <v>3</v>
      </c>
      <c r="B114" s="26">
        <f t="shared" si="19"/>
        <v>94876.660341555966</v>
      </c>
      <c r="C114" s="85">
        <f t="shared" si="20"/>
        <v>96082.50070216936</v>
      </c>
      <c r="D114" s="27">
        <f t="shared" si="21"/>
        <v>1.2709557400865178E-2</v>
      </c>
      <c r="E114" s="27">
        <f t="shared" si="22"/>
        <v>1.2709557400865178E-2</v>
      </c>
      <c r="G114" s="97">
        <f t="shared" si="29"/>
        <v>440</v>
      </c>
      <c r="H114" s="97">
        <f t="shared" si="30"/>
        <v>2</v>
      </c>
      <c r="I114" s="114">
        <f t="shared" si="31"/>
        <v>1</v>
      </c>
      <c r="J114" s="98">
        <f t="shared" si="23"/>
        <v>52.7</v>
      </c>
      <c r="K114" s="99">
        <f t="shared" si="32"/>
        <v>10.7</v>
      </c>
      <c r="M114" s="22"/>
      <c r="N114" s="3"/>
      <c r="O114" s="3"/>
      <c r="P114" s="18">
        <f t="shared" si="33"/>
        <v>440</v>
      </c>
      <c r="Q114" s="18">
        <v>380</v>
      </c>
      <c r="R114">
        <v>380</v>
      </c>
      <c r="S114" s="18">
        <f t="shared" si="24"/>
        <v>440</v>
      </c>
      <c r="AD114">
        <f t="shared" si="25"/>
        <v>2</v>
      </c>
      <c r="AQ114" s="17">
        <f t="shared" si="26"/>
        <v>52.7</v>
      </c>
      <c r="AR114" s="17">
        <v>52</v>
      </c>
      <c r="AS114" s="17">
        <v>52</v>
      </c>
      <c r="AT114" s="17">
        <f t="shared" si="27"/>
        <v>52.5</v>
      </c>
      <c r="DR114" s="20">
        <v>0.23</v>
      </c>
      <c r="DS114" s="20">
        <v>0.24</v>
      </c>
      <c r="DT114" s="20">
        <v>0.24</v>
      </c>
      <c r="DU114" s="20">
        <f t="shared" si="28"/>
        <v>0.25</v>
      </c>
    </row>
    <row r="115" spans="1:125">
      <c r="A115" s="25">
        <f t="shared" si="18"/>
        <v>4</v>
      </c>
      <c r="B115" s="26">
        <f t="shared" si="19"/>
        <v>87903.225806451606</v>
      </c>
      <c r="C115" s="85">
        <f t="shared" si="20"/>
        <v>85825.502433834918</v>
      </c>
      <c r="D115" s="27">
        <f t="shared" si="21"/>
        <v>-2.3636486073804534E-2</v>
      </c>
      <c r="E115" s="27">
        <f t="shared" si="22"/>
        <v>2.3636486073804534E-2</v>
      </c>
      <c r="G115" s="97">
        <f t="shared" si="29"/>
        <v>190</v>
      </c>
      <c r="H115" s="97">
        <f t="shared" si="30"/>
        <v>1</v>
      </c>
      <c r="I115" s="114">
        <f t="shared" si="31"/>
        <v>2</v>
      </c>
      <c r="J115" s="98">
        <f t="shared" si="23"/>
        <v>62</v>
      </c>
      <c r="K115" s="99">
        <f t="shared" si="32"/>
        <v>12.7</v>
      </c>
      <c r="M115" s="22"/>
      <c r="N115" s="3"/>
      <c r="O115" s="3"/>
      <c r="P115" s="18">
        <f t="shared" si="33"/>
        <v>190</v>
      </c>
      <c r="Q115" s="18">
        <v>440</v>
      </c>
      <c r="R115" s="18">
        <v>440</v>
      </c>
      <c r="S115" s="18">
        <f t="shared" si="24"/>
        <v>490</v>
      </c>
      <c r="AD115">
        <f t="shared" si="25"/>
        <v>1</v>
      </c>
      <c r="AQ115" s="17">
        <f t="shared" si="26"/>
        <v>62</v>
      </c>
      <c r="AR115" s="17">
        <v>52.5</v>
      </c>
      <c r="AS115" s="17">
        <v>52.5</v>
      </c>
      <c r="AT115" s="17">
        <f t="shared" si="27"/>
        <v>52.7</v>
      </c>
      <c r="DR115" s="20">
        <v>0.26</v>
      </c>
      <c r="DS115" s="20">
        <v>0.25</v>
      </c>
      <c r="DT115" s="20">
        <v>0.25</v>
      </c>
      <c r="DU115" s="20" t="e">
        <f>#REF!</f>
        <v>#REF!</v>
      </c>
    </row>
    <row r="116" spans="1:125">
      <c r="A116" s="25">
        <f t="shared" si="18"/>
        <v>5</v>
      </c>
      <c r="B116" s="26">
        <f t="shared" si="19"/>
        <v>103571.42857142857</v>
      </c>
      <c r="C116" s="85">
        <f t="shared" si="20"/>
        <v>105579.27717851683</v>
      </c>
      <c r="D116" s="27">
        <f t="shared" si="21"/>
        <v>1.938612448223152E-2</v>
      </c>
      <c r="E116" s="27">
        <f t="shared" si="22"/>
        <v>1.938612448223152E-2</v>
      </c>
      <c r="G116" s="97">
        <f t="shared" si="29"/>
        <v>600</v>
      </c>
      <c r="H116" s="97">
        <f t="shared" si="30"/>
        <v>2</v>
      </c>
      <c r="I116" s="114">
        <f t="shared" si="31"/>
        <v>4</v>
      </c>
      <c r="J116" s="98">
        <f t="shared" si="23"/>
        <v>56</v>
      </c>
      <c r="K116" s="99">
        <f t="shared" si="32"/>
        <v>9</v>
      </c>
      <c r="M116" s="22"/>
      <c r="N116" s="3"/>
      <c r="O116" s="3"/>
      <c r="P116" s="18">
        <f t="shared" si="33"/>
        <v>600</v>
      </c>
      <c r="Q116" s="18">
        <v>490</v>
      </c>
      <c r="R116" s="18">
        <v>490</v>
      </c>
      <c r="S116" s="18">
        <f t="shared" si="24"/>
        <v>550</v>
      </c>
      <c r="AD116">
        <f t="shared" si="25"/>
        <v>2</v>
      </c>
      <c r="AQ116" s="17">
        <f t="shared" si="26"/>
        <v>56</v>
      </c>
      <c r="AR116" s="17">
        <v>52.7</v>
      </c>
      <c r="AS116" s="17">
        <v>52.7</v>
      </c>
      <c r="AT116" s="17">
        <f t="shared" si="27"/>
        <v>56</v>
      </c>
      <c r="DR116" s="20">
        <v>0.24</v>
      </c>
      <c r="DS116" s="20">
        <v>0.27</v>
      </c>
      <c r="DT116" s="20">
        <v>0.27</v>
      </c>
      <c r="DU116" s="20">
        <f t="shared" si="28"/>
        <v>0.28000000000000003</v>
      </c>
    </row>
    <row r="117" spans="1:125">
      <c r="A117" s="25">
        <f t="shared" si="18"/>
        <v>6</v>
      </c>
      <c r="B117" s="26">
        <f t="shared" si="19"/>
        <v>78448.275862068971</v>
      </c>
      <c r="C117" s="85">
        <f t="shared" si="20"/>
        <v>79956.946648468278</v>
      </c>
      <c r="D117" s="27">
        <f t="shared" si="21"/>
        <v>1.9231407826628528E-2</v>
      </c>
      <c r="E117" s="27">
        <f t="shared" si="22"/>
        <v>1.9231407826628528E-2</v>
      </c>
      <c r="G117" s="97">
        <f t="shared" si="29"/>
        <v>710</v>
      </c>
      <c r="H117" s="97">
        <f t="shared" si="30"/>
        <v>1</v>
      </c>
      <c r="I117" s="114">
        <f t="shared" si="31"/>
        <v>1</v>
      </c>
      <c r="J117" s="98">
        <f t="shared" si="23"/>
        <v>58</v>
      </c>
      <c r="K117" s="99">
        <f t="shared" si="32"/>
        <v>7.4</v>
      </c>
      <c r="M117" s="22"/>
      <c r="N117" s="3"/>
      <c r="O117" s="3"/>
      <c r="P117" s="18">
        <f t="shared" si="33"/>
        <v>710</v>
      </c>
      <c r="Q117" s="18">
        <v>550</v>
      </c>
      <c r="R117" s="18">
        <v>550</v>
      </c>
      <c r="S117" s="18">
        <f t="shared" si="24"/>
        <v>600</v>
      </c>
      <c r="AD117">
        <f t="shared" si="25"/>
        <v>1</v>
      </c>
      <c r="AQ117" s="17">
        <f t="shared" si="26"/>
        <v>58</v>
      </c>
      <c r="AR117" s="17">
        <v>56</v>
      </c>
      <c r="AS117" s="17">
        <v>56</v>
      </c>
      <c r="AT117" s="17">
        <f t="shared" si="27"/>
        <v>56.4</v>
      </c>
      <c r="DR117" s="20">
        <v>0.28999999999999998</v>
      </c>
      <c r="DS117" s="20">
        <v>0.28000000000000003</v>
      </c>
      <c r="DT117" s="20">
        <v>0.28000000000000003</v>
      </c>
      <c r="DU117" s="20">
        <f t="shared" si="28"/>
        <v>0.28999999999999998</v>
      </c>
    </row>
    <row r="118" spans="1:125">
      <c r="A118" s="25">
        <f t="shared" si="18"/>
        <v>7</v>
      </c>
      <c r="B118" s="26">
        <f t="shared" si="19"/>
        <v>91428.571428571435</v>
      </c>
      <c r="C118" s="85">
        <f t="shared" si="20"/>
        <v>93621.403148000478</v>
      </c>
      <c r="D118" s="27">
        <f t="shared" si="21"/>
        <v>2.3984096931255156E-2</v>
      </c>
      <c r="E118" s="27">
        <f t="shared" si="22"/>
        <v>2.3984096931255156E-2</v>
      </c>
      <c r="G118" s="97">
        <f t="shared" si="29"/>
        <v>710</v>
      </c>
      <c r="H118" s="97">
        <f t="shared" si="30"/>
        <v>2</v>
      </c>
      <c r="I118" s="114">
        <f t="shared" si="31"/>
        <v>1</v>
      </c>
      <c r="J118" s="98">
        <f t="shared" si="23"/>
        <v>52.5</v>
      </c>
      <c r="K118" s="99">
        <f t="shared" si="32"/>
        <v>7.8</v>
      </c>
      <c r="M118" s="22"/>
      <c r="N118" s="3"/>
      <c r="O118" s="3"/>
      <c r="P118" s="18">
        <f t="shared" si="33"/>
        <v>710</v>
      </c>
      <c r="Q118" s="18">
        <v>600</v>
      </c>
      <c r="R118" s="18">
        <v>600</v>
      </c>
      <c r="S118" s="18">
        <f t="shared" si="24"/>
        <v>710</v>
      </c>
      <c r="AD118">
        <f t="shared" si="25"/>
        <v>2</v>
      </c>
      <c r="AQ118" s="17">
        <f t="shared" si="26"/>
        <v>52.5</v>
      </c>
      <c r="AR118" s="17">
        <v>56.4</v>
      </c>
      <c r="AS118" s="17">
        <v>56.4</v>
      </c>
      <c r="AT118" s="17">
        <f t="shared" si="27"/>
        <v>59</v>
      </c>
      <c r="DR118" s="20">
        <v>0.25</v>
      </c>
      <c r="DS118" s="20">
        <v>0.28999999999999998</v>
      </c>
      <c r="DT118" s="20">
        <v>0.28999999999999998</v>
      </c>
      <c r="DU118" s="20">
        <f t="shared" si="28"/>
        <v>0.3</v>
      </c>
    </row>
    <row r="119" spans="1:125">
      <c r="A119" s="25">
        <f t="shared" si="18"/>
        <v>8</v>
      </c>
      <c r="B119" s="26">
        <f t="shared" si="19"/>
        <v>86538.461538461532</v>
      </c>
      <c r="C119" s="85">
        <f t="shared" si="20"/>
        <v>86808.916957789406</v>
      </c>
      <c r="D119" s="27">
        <f t="shared" si="21"/>
        <v>3.1252626233443286E-3</v>
      </c>
      <c r="E119" s="27">
        <f t="shared" si="22"/>
        <v>3.1252626233443286E-3</v>
      </c>
      <c r="G119" s="97">
        <f t="shared" si="29"/>
        <v>490</v>
      </c>
      <c r="H119" s="97">
        <f t="shared" si="30"/>
        <v>1</v>
      </c>
      <c r="I119" s="114">
        <f t="shared" si="31"/>
        <v>1</v>
      </c>
      <c r="J119" s="98">
        <f t="shared" si="23"/>
        <v>52</v>
      </c>
      <c r="K119" s="99">
        <f t="shared" si="32"/>
        <v>8</v>
      </c>
      <c r="M119" s="22"/>
      <c r="N119" s="3"/>
      <c r="O119" s="3"/>
      <c r="P119" s="18">
        <f t="shared" si="33"/>
        <v>490</v>
      </c>
      <c r="Q119" s="18">
        <v>710</v>
      </c>
      <c r="R119" s="18">
        <v>710</v>
      </c>
      <c r="S119" s="18">
        <f t="shared" si="24"/>
        <v>930</v>
      </c>
      <c r="AD119">
        <f t="shared" si="25"/>
        <v>1</v>
      </c>
      <c r="AQ119" s="17">
        <f t="shared" si="26"/>
        <v>52</v>
      </c>
      <c r="AR119" s="17">
        <v>59</v>
      </c>
      <c r="AS119" s="17">
        <v>59</v>
      </c>
      <c r="AT119" s="17">
        <f t="shared" si="27"/>
        <v>60</v>
      </c>
      <c r="DR119" s="20">
        <v>0.28000000000000003</v>
      </c>
      <c r="DS119" s="20">
        <v>0.3</v>
      </c>
      <c r="DT119" s="20">
        <v>0.3</v>
      </c>
      <c r="DU119" s="20">
        <f t="shared" si="28"/>
        <v>0.33</v>
      </c>
    </row>
    <row r="120" spans="1:125">
      <c r="A120" s="25">
        <f t="shared" si="18"/>
        <v>9</v>
      </c>
      <c r="B120" s="26">
        <f t="shared" si="19"/>
        <v>87301.587301587308</v>
      </c>
      <c r="C120" s="85">
        <f t="shared" si="20"/>
        <v>87774.591074580036</v>
      </c>
      <c r="D120" s="27">
        <f t="shared" si="21"/>
        <v>5.4180432179167029E-3</v>
      </c>
      <c r="E120" s="27">
        <f t="shared" si="22"/>
        <v>5.4180432179167029E-3</v>
      </c>
      <c r="G120" s="97">
        <f t="shared" si="29"/>
        <v>1700</v>
      </c>
      <c r="H120" s="97">
        <f t="shared" si="30"/>
        <v>2</v>
      </c>
      <c r="I120" s="114">
        <f t="shared" si="31"/>
        <v>2</v>
      </c>
      <c r="J120" s="98">
        <f t="shared" si="23"/>
        <v>63</v>
      </c>
      <c r="K120" s="99">
        <f t="shared" si="32"/>
        <v>13</v>
      </c>
      <c r="M120" s="22"/>
      <c r="N120" s="3"/>
      <c r="O120" s="3"/>
      <c r="P120" s="18">
        <f t="shared" si="33"/>
        <v>1700</v>
      </c>
      <c r="Q120" s="18">
        <v>930</v>
      </c>
      <c r="R120" s="18">
        <v>930</v>
      </c>
      <c r="S120" s="18">
        <f t="shared" si="24"/>
        <v>1180</v>
      </c>
      <c r="AD120">
        <f t="shared" si="25"/>
        <v>2</v>
      </c>
      <c r="AQ120" s="17">
        <f t="shared" si="26"/>
        <v>63</v>
      </c>
      <c r="AR120" s="17">
        <v>60</v>
      </c>
      <c r="AS120" s="17">
        <v>60</v>
      </c>
      <c r="AT120" s="17">
        <f t="shared" si="27"/>
        <v>62</v>
      </c>
      <c r="DR120" s="20">
        <v>0.3</v>
      </c>
      <c r="DS120" s="20">
        <v>0.33</v>
      </c>
      <c r="DT120" s="20">
        <v>0.33</v>
      </c>
      <c r="DU120" s="20">
        <f t="shared" si="28"/>
        <v>0.34</v>
      </c>
    </row>
    <row r="121" spans="1:125">
      <c r="A121" s="25">
        <f t="shared" si="18"/>
        <v>10</v>
      </c>
      <c r="B121" s="26">
        <f t="shared" si="19"/>
        <v>90909.090909090897</v>
      </c>
      <c r="C121" s="85">
        <f t="shared" si="20"/>
        <v>86819.168095752408</v>
      </c>
      <c r="D121" s="27">
        <f t="shared" si="21"/>
        <v>-4.4989150946723393E-2</v>
      </c>
      <c r="E121" s="27">
        <f t="shared" si="22"/>
        <v>4.4989150946723393E-2</v>
      </c>
      <c r="G121" s="97">
        <f t="shared" si="29"/>
        <v>550</v>
      </c>
      <c r="H121" s="97">
        <f t="shared" si="30"/>
        <v>1</v>
      </c>
      <c r="I121" s="114">
        <f t="shared" si="31"/>
        <v>1</v>
      </c>
      <c r="J121" s="98">
        <f t="shared" si="23"/>
        <v>51.7</v>
      </c>
      <c r="K121" s="99">
        <f t="shared" si="32"/>
        <v>7.9</v>
      </c>
      <c r="M121" s="22"/>
      <c r="N121" s="3"/>
      <c r="O121" s="3"/>
      <c r="P121" s="18">
        <f t="shared" si="33"/>
        <v>550</v>
      </c>
      <c r="Q121" s="18">
        <v>1180</v>
      </c>
      <c r="R121" s="18">
        <v>1180</v>
      </c>
      <c r="S121" s="18">
        <f t="shared" si="24"/>
        <v>1200</v>
      </c>
      <c r="AD121">
        <f t="shared" si="25"/>
        <v>1</v>
      </c>
      <c r="AQ121" s="17">
        <f t="shared" si="26"/>
        <v>51.7</v>
      </c>
      <c r="AR121" s="17">
        <v>62</v>
      </c>
      <c r="AS121" s="17">
        <v>62</v>
      </c>
      <c r="AT121" s="17">
        <f t="shared" si="27"/>
        <v>63</v>
      </c>
      <c r="DR121" s="20">
        <v>0.34</v>
      </c>
      <c r="DS121" s="20">
        <v>0.34</v>
      </c>
      <c r="DT121" s="20">
        <v>0.34</v>
      </c>
      <c r="DU121" s="20"/>
    </row>
    <row r="122" spans="1:125">
      <c r="A122" s="25">
        <f t="shared" si="18"/>
        <v>11</v>
      </c>
      <c r="B122" s="26">
        <f t="shared" si="19"/>
        <v>98214.28571428571</v>
      </c>
      <c r="C122" s="85">
        <f t="shared" si="20"/>
        <v>90762.930434343609</v>
      </c>
      <c r="D122" s="27">
        <f t="shared" si="21"/>
        <v>-7.5868344668501397E-2</v>
      </c>
      <c r="E122" s="27">
        <f t="shared" si="22"/>
        <v>7.5868344668501397E-2</v>
      </c>
      <c r="G122" s="97">
        <f t="shared" si="29"/>
        <v>930</v>
      </c>
      <c r="H122" s="97">
        <f t="shared" si="30"/>
        <v>2</v>
      </c>
      <c r="I122" s="114">
        <f t="shared" si="31"/>
        <v>1</v>
      </c>
      <c r="J122" s="98">
        <f t="shared" si="23"/>
        <v>56</v>
      </c>
      <c r="K122" s="99">
        <f t="shared" si="32"/>
        <v>10</v>
      </c>
      <c r="M122" s="22"/>
      <c r="N122" s="3"/>
      <c r="O122" s="3"/>
      <c r="P122" s="18">
        <f t="shared" si="33"/>
        <v>930</v>
      </c>
      <c r="Q122" s="18">
        <v>1200</v>
      </c>
      <c r="R122" s="18">
        <v>1200</v>
      </c>
      <c r="S122" s="18">
        <f t="shared" si="24"/>
        <v>1500</v>
      </c>
      <c r="AD122">
        <f t="shared" si="25"/>
        <v>2</v>
      </c>
      <c r="AQ122" s="17">
        <f t="shared" si="26"/>
        <v>56</v>
      </c>
      <c r="AR122" s="17">
        <v>63</v>
      </c>
      <c r="AS122" s="17">
        <v>63</v>
      </c>
      <c r="AT122" s="17">
        <f t="shared" si="27"/>
        <v>65</v>
      </c>
      <c r="DR122" s="20">
        <v>0.28000000000000003</v>
      </c>
      <c r="DT122" s="20"/>
      <c r="DU122" s="20"/>
    </row>
    <row r="123" spans="1:125">
      <c r="A123" s="25">
        <f t="shared" si="18"/>
        <v>12</v>
      </c>
      <c r="B123" s="26">
        <f t="shared" si="19"/>
        <v>98305.08474576271</v>
      </c>
      <c r="C123" s="85">
        <f t="shared" si="20"/>
        <v>96755.500293863253</v>
      </c>
      <c r="D123" s="27">
        <f t="shared" si="21"/>
        <v>-1.5763014252080678E-2</v>
      </c>
      <c r="E123" s="27">
        <f t="shared" si="22"/>
        <v>1.5763014252080678E-2</v>
      </c>
      <c r="G123" s="97">
        <f t="shared" si="29"/>
        <v>1180</v>
      </c>
      <c r="H123" s="97">
        <f t="shared" si="30"/>
        <v>2</v>
      </c>
      <c r="I123" s="114">
        <f t="shared" si="31"/>
        <v>3</v>
      </c>
      <c r="J123" s="98">
        <f t="shared" si="23"/>
        <v>59</v>
      </c>
      <c r="K123" s="99">
        <f t="shared" si="32"/>
        <v>10.5</v>
      </c>
      <c r="M123" s="22"/>
      <c r="N123" s="3"/>
      <c r="O123" s="3"/>
      <c r="P123" s="18">
        <f t="shared" si="33"/>
        <v>1180</v>
      </c>
      <c r="Q123" s="18">
        <v>1500</v>
      </c>
      <c r="R123" s="18">
        <v>1500</v>
      </c>
      <c r="S123" s="18">
        <f>R124</f>
        <v>1700</v>
      </c>
      <c r="AD123">
        <f t="shared" si="25"/>
        <v>2</v>
      </c>
      <c r="AQ123" s="17">
        <f t="shared" si="26"/>
        <v>59</v>
      </c>
      <c r="AR123" s="17">
        <v>65</v>
      </c>
      <c r="AS123" s="17">
        <v>65</v>
      </c>
      <c r="AT123" s="17"/>
      <c r="DR123" s="20">
        <v>0.25</v>
      </c>
      <c r="DT123" s="20"/>
      <c r="DU123" s="20"/>
    </row>
    <row r="124" spans="1:125">
      <c r="A124" s="25">
        <f t="shared" si="18"/>
        <v>13</v>
      </c>
      <c r="B124" s="26">
        <f t="shared" si="19"/>
        <v>88652.482269503555</v>
      </c>
      <c r="C124" s="85">
        <f t="shared" si="20"/>
        <v>92433.726200142686</v>
      </c>
      <c r="D124" s="34">
        <f t="shared" si="21"/>
        <v>4.2652431537609399E-2</v>
      </c>
      <c r="E124" s="34">
        <f t="shared" si="22"/>
        <v>4.2652431537609399E-2</v>
      </c>
      <c r="G124" s="97">
        <f t="shared" si="29"/>
        <v>380</v>
      </c>
      <c r="H124" s="97">
        <f t="shared" si="30"/>
        <v>2</v>
      </c>
      <c r="I124" s="114">
        <f t="shared" si="31"/>
        <v>1</v>
      </c>
      <c r="J124" s="98">
        <f t="shared" si="23"/>
        <v>56.4</v>
      </c>
      <c r="K124" s="99">
        <f t="shared" si="32"/>
        <v>10.1</v>
      </c>
      <c r="M124" s="22"/>
      <c r="N124" s="3"/>
      <c r="O124" s="3"/>
      <c r="P124" s="18">
        <f t="shared" si="33"/>
        <v>380</v>
      </c>
      <c r="Q124" s="18">
        <v>1700</v>
      </c>
      <c r="R124" s="18">
        <v>1700</v>
      </c>
      <c r="S124" s="18"/>
      <c r="AD124">
        <f t="shared" ref="AD124:AD125" si="34">H74</f>
        <v>2</v>
      </c>
      <c r="AQ124" s="17">
        <f t="shared" si="26"/>
        <v>56.4</v>
      </c>
      <c r="AS124" s="17"/>
      <c r="AT124" s="17"/>
      <c r="BD124" s="17"/>
      <c r="BG124" s="17"/>
      <c r="BL124" s="17"/>
      <c r="DR124" s="20">
        <v>0.25</v>
      </c>
      <c r="DT124" s="20"/>
      <c r="DU124" s="20"/>
    </row>
    <row r="125" spans="1:125">
      <c r="A125" s="25">
        <f t="shared" si="18"/>
        <v>14</v>
      </c>
      <c r="B125" s="33">
        <f t="shared" si="19"/>
        <v>81333.333333333328</v>
      </c>
      <c r="C125" s="86">
        <f t="shared" si="20"/>
        <v>82125.82522993772</v>
      </c>
      <c r="D125" s="34">
        <f t="shared" si="21"/>
        <v>9.7437528271031755E-3</v>
      </c>
      <c r="E125" s="34">
        <f t="shared" si="22"/>
        <v>9.7437528271031755E-3</v>
      </c>
      <c r="G125" s="102">
        <f t="shared" si="29"/>
        <v>80</v>
      </c>
      <c r="H125" s="102">
        <f t="shared" si="30"/>
        <v>1</v>
      </c>
      <c r="I125" s="115">
        <f t="shared" si="31"/>
        <v>1</v>
      </c>
      <c r="J125" s="100">
        <f t="shared" si="23"/>
        <v>60</v>
      </c>
      <c r="K125" s="101">
        <f t="shared" si="32"/>
        <v>10.5</v>
      </c>
      <c r="M125" s="22"/>
      <c r="N125" s="3"/>
      <c r="O125" s="3"/>
      <c r="P125" s="18">
        <f t="shared" si="33"/>
        <v>80</v>
      </c>
      <c r="R125" s="18"/>
      <c r="S125" s="18"/>
      <c r="AD125">
        <f t="shared" si="34"/>
        <v>1</v>
      </c>
      <c r="AQ125" s="17">
        <f t="shared" si="26"/>
        <v>60</v>
      </c>
      <c r="BD125" s="17"/>
      <c r="BG125" s="17"/>
      <c r="BL125" s="17"/>
      <c r="DR125" s="20">
        <v>0.27</v>
      </c>
      <c r="DT125" s="20"/>
      <c r="DU125" s="20"/>
    </row>
    <row r="126" spans="1:125">
      <c r="A126" s="169"/>
      <c r="D126" s="78" t="s">
        <v>56</v>
      </c>
      <c r="E126" s="110">
        <f>AVERAGE(E112:E125)</f>
        <v>2.5084225710558922E-2</v>
      </c>
      <c r="L126" s="20"/>
      <c r="M126" s="22"/>
      <c r="N126" s="3"/>
      <c r="O126" s="3"/>
      <c r="P126" s="18"/>
      <c r="R126" s="18"/>
      <c r="S126" s="18"/>
      <c r="AU126" s="17"/>
      <c r="AV126" s="17"/>
      <c r="BD126" s="17"/>
      <c r="BF126" s="17"/>
      <c r="BG126" s="17"/>
      <c r="BH126" s="80"/>
      <c r="BI126" s="80"/>
      <c r="BJ126" s="80"/>
      <c r="BK126" s="80"/>
      <c r="BL126" s="80"/>
      <c r="BM126" s="80"/>
      <c r="BN126" s="80"/>
      <c r="BS126" s="80"/>
      <c r="BT126" s="80"/>
      <c r="DR126" s="20">
        <v>0.33</v>
      </c>
      <c r="DT126" s="20"/>
      <c r="DU126" s="20"/>
    </row>
    <row r="127" spans="1:125">
      <c r="A127" s="25"/>
      <c r="B127" s="95" t="s">
        <v>89</v>
      </c>
      <c r="D127" s="79" t="s">
        <v>57</v>
      </c>
      <c r="E127" s="37">
        <f>MAX(E112:E125)</f>
        <v>7.5868344668501397E-2</v>
      </c>
      <c r="L127" s="20"/>
      <c r="M127" s="22"/>
      <c r="N127" s="3"/>
      <c r="O127" s="3"/>
      <c r="P127" s="18"/>
      <c r="R127" s="18"/>
      <c r="S127" s="18"/>
      <c r="AU127" s="17"/>
      <c r="AV127" s="17"/>
      <c r="BG127" s="17"/>
      <c r="BH127" s="80"/>
      <c r="BI127" s="80"/>
      <c r="BJ127" s="80"/>
      <c r="BK127" s="80"/>
      <c r="BL127" s="80"/>
      <c r="BM127" s="80"/>
      <c r="BN127" s="80"/>
      <c r="BS127" s="80"/>
      <c r="BT127" s="80"/>
      <c r="DR127" s="20">
        <v>0.24</v>
      </c>
      <c r="DT127" s="20"/>
      <c r="DU127" s="20"/>
    </row>
    <row r="128" spans="1:125">
      <c r="B128" s="96">
        <f>TREND($B$112:$B$125,$G$112:$K$125,G128:K128,1)</f>
        <v>97848.202804487912</v>
      </c>
      <c r="G128" s="102">
        <f>E45</f>
        <v>830</v>
      </c>
      <c r="H128" s="102">
        <f>F45</f>
        <v>2</v>
      </c>
      <c r="I128" s="163">
        <f>G45</f>
        <v>3</v>
      </c>
      <c r="J128" s="103">
        <f>H45</f>
        <v>58.7</v>
      </c>
      <c r="K128" s="103">
        <f>J45</f>
        <v>9.6999999999999993</v>
      </c>
      <c r="L128" s="22"/>
      <c r="M128" s="22"/>
      <c r="N128" s="3"/>
      <c r="O128" s="3"/>
      <c r="P128" s="18"/>
      <c r="Q128" s="18"/>
      <c r="R128" s="18"/>
      <c r="S128" s="18"/>
      <c r="AU128" s="17"/>
      <c r="AV128" s="17"/>
      <c r="BG128" s="17"/>
      <c r="BH128" s="80"/>
      <c r="BI128" s="80"/>
      <c r="BJ128" s="80"/>
      <c r="BK128" s="80"/>
      <c r="BL128" s="80"/>
      <c r="BM128" s="80"/>
      <c r="BN128" s="80"/>
      <c r="BS128" s="80"/>
      <c r="BT128" s="80"/>
      <c r="DR128" s="20">
        <v>0.25</v>
      </c>
      <c r="DT128" s="20"/>
      <c r="DU128" s="20"/>
    </row>
    <row r="129" spans="1:128">
      <c r="B129" s="109"/>
      <c r="M129" s="22"/>
      <c r="N129" s="3"/>
      <c r="O129" s="3"/>
      <c r="P129" s="18"/>
      <c r="Q129" s="18"/>
      <c r="R129" s="18"/>
      <c r="S129" s="18"/>
      <c r="AD129" s="184" t="s">
        <v>5</v>
      </c>
      <c r="AE129" s="184"/>
      <c r="AF129" s="184"/>
      <c r="AQ129" s="184" t="s">
        <v>8</v>
      </c>
      <c r="AR129" s="184"/>
      <c r="AS129" s="184"/>
      <c r="BG129" s="17"/>
      <c r="BH129" s="80"/>
      <c r="BI129" s="80"/>
      <c r="BJ129" s="80"/>
      <c r="BK129" s="80"/>
      <c r="BL129" s="80"/>
      <c r="BM129" s="80"/>
      <c r="BN129" s="80"/>
      <c r="BS129" s="80"/>
      <c r="BT129" s="80"/>
      <c r="DR129" s="20">
        <v>0.25</v>
      </c>
      <c r="DT129" s="20"/>
      <c r="DU129" s="20"/>
    </row>
    <row r="130" spans="1:128">
      <c r="M130" s="22"/>
      <c r="N130" s="3"/>
      <c r="O130" s="3"/>
      <c r="P130" s="18"/>
      <c r="R130" s="18"/>
      <c r="S130" s="18"/>
      <c r="AD130" s="182" t="s">
        <v>77</v>
      </c>
      <c r="AE130" s="182" t="s">
        <v>86</v>
      </c>
      <c r="AF130" s="182" t="s">
        <v>78</v>
      </c>
      <c r="AQ130" s="148"/>
      <c r="AR130" s="148"/>
      <c r="AS130" s="148"/>
      <c r="BK130" s="17"/>
      <c r="DR130" s="20">
        <v>0.22</v>
      </c>
      <c r="DT130" s="20"/>
      <c r="DU130" s="20"/>
      <c r="DW130" s="17"/>
      <c r="DX130" s="17"/>
    </row>
    <row r="131" spans="1:128">
      <c r="M131" s="22"/>
      <c r="N131" s="3"/>
      <c r="O131" s="3"/>
      <c r="Q131" s="18"/>
      <c r="R131" s="18"/>
      <c r="S131" s="18"/>
      <c r="AD131" s="183"/>
      <c r="AE131" s="183"/>
      <c r="AF131" s="183"/>
      <c r="AQ131" s="148"/>
      <c r="AR131" s="148"/>
      <c r="AS131" s="148"/>
      <c r="BF131" s="17"/>
      <c r="BK131" s="20"/>
      <c r="BT131" s="20"/>
      <c r="BU131" s="20"/>
      <c r="BV131" s="20"/>
      <c r="BW131" s="20"/>
      <c r="BY131" s="17"/>
      <c r="BZ131" s="17"/>
      <c r="CH131" s="17"/>
      <c r="CI131" s="17"/>
    </row>
    <row r="132" spans="1:128">
      <c r="M132" s="22"/>
      <c r="N132" s="3"/>
      <c r="O132" s="3"/>
      <c r="R132" s="18"/>
      <c r="S132" s="18"/>
      <c r="AD132">
        <f>G29</f>
        <v>1</v>
      </c>
      <c r="AE132">
        <v>1</v>
      </c>
      <c r="AF132">
        <v>1</v>
      </c>
      <c r="AG132" s="18">
        <f>AF133</f>
        <v>2</v>
      </c>
      <c r="AQ132" s="182" t="s">
        <v>77</v>
      </c>
      <c r="AR132" s="182" t="s">
        <v>86</v>
      </c>
      <c r="AS132" s="182" t="s">
        <v>78</v>
      </c>
      <c r="BF132" s="17"/>
      <c r="BG132" s="17"/>
      <c r="BH132" s="17"/>
      <c r="BI132" s="17"/>
      <c r="BK132" s="20"/>
      <c r="BT132" s="20"/>
      <c r="BU132" s="20"/>
      <c r="BV132" s="20"/>
      <c r="BW132" s="20"/>
      <c r="BY132" s="17"/>
      <c r="BZ132" s="17"/>
      <c r="CH132" s="17"/>
      <c r="CI132" s="17"/>
      <c r="CK132" s="17"/>
    </row>
    <row r="133" spans="1:128">
      <c r="N133" s="3"/>
      <c r="O133" s="3"/>
      <c r="Q133" s="18"/>
      <c r="R133" s="18"/>
      <c r="S133" s="18"/>
      <c r="AD133">
        <f t="shared" ref="AD133:AD145" si="35">G30</f>
        <v>3</v>
      </c>
      <c r="AE133">
        <v>2</v>
      </c>
      <c r="AF133">
        <v>2</v>
      </c>
      <c r="AG133" s="18">
        <f t="shared" ref="AG133:AG134" si="36">AF134</f>
        <v>3</v>
      </c>
      <c r="AQ133" s="182"/>
      <c r="AR133" s="182"/>
      <c r="AS133" s="182"/>
      <c r="BF133" s="17"/>
      <c r="BG133" s="17"/>
      <c r="BH133" s="17"/>
      <c r="BK133" s="20"/>
      <c r="BT133" s="20"/>
      <c r="BU133" s="20"/>
      <c r="BV133" s="20"/>
      <c r="BW133" s="20"/>
      <c r="BY133" s="17"/>
      <c r="BZ133" s="17"/>
      <c r="CH133" s="17"/>
      <c r="CI133" s="17"/>
      <c r="CK133" s="17"/>
    </row>
    <row r="134" spans="1:128">
      <c r="N134" s="3"/>
      <c r="O134" s="3"/>
      <c r="Q134" s="18"/>
      <c r="R134" s="18"/>
      <c r="S134" s="18"/>
      <c r="AD134">
        <f t="shared" si="35"/>
        <v>1</v>
      </c>
      <c r="AE134">
        <v>3</v>
      </c>
      <c r="AF134">
        <v>3</v>
      </c>
      <c r="AG134" s="18">
        <f t="shared" si="36"/>
        <v>4</v>
      </c>
      <c r="AQ134" s="17">
        <f>J29</f>
        <v>11.5</v>
      </c>
      <c r="AR134" s="17">
        <v>7.4</v>
      </c>
      <c r="AS134" s="17">
        <v>7.4</v>
      </c>
      <c r="AT134" s="17">
        <f t="shared" ref="AT134:AT144" si="37">AS135</f>
        <v>7.8</v>
      </c>
      <c r="BF134" s="17"/>
      <c r="BG134" s="17"/>
      <c r="BH134" s="17"/>
      <c r="BI134" s="17"/>
      <c r="BK134" s="20"/>
      <c r="BT134" s="20"/>
      <c r="BU134" s="20"/>
      <c r="BV134" s="20"/>
      <c r="BW134" s="20"/>
      <c r="BY134" s="17"/>
      <c r="BZ134" s="17"/>
      <c r="CH134" s="17"/>
      <c r="CI134" s="17"/>
      <c r="CK134" s="17"/>
      <c r="CL134" s="17"/>
      <c r="CM134" s="17"/>
    </row>
    <row r="135" spans="1:128">
      <c r="A135" s="25"/>
      <c r="B135" s="111"/>
      <c r="C135" s="112"/>
      <c r="D135" s="113"/>
      <c r="E135" s="113"/>
      <c r="G135" s="18"/>
      <c r="H135" s="17"/>
      <c r="I135" s="17"/>
      <c r="J135" s="17"/>
      <c r="K135" s="17"/>
      <c r="L135" s="20"/>
      <c r="M135" s="17"/>
      <c r="N135" s="3"/>
      <c r="O135" s="3"/>
      <c r="Q135" s="18"/>
      <c r="S135" s="18"/>
      <c r="AD135">
        <f t="shared" si="35"/>
        <v>2</v>
      </c>
      <c r="AE135">
        <v>4</v>
      </c>
      <c r="AF135">
        <v>4</v>
      </c>
      <c r="AG135" s="17"/>
      <c r="AQ135" s="17">
        <f t="shared" ref="AQ135:AQ147" si="38">J30</f>
        <v>9</v>
      </c>
      <c r="AR135" s="17">
        <v>7.8</v>
      </c>
      <c r="AS135" s="17">
        <v>7.8</v>
      </c>
      <c r="AT135" s="17">
        <f t="shared" si="37"/>
        <v>7.9</v>
      </c>
      <c r="AY135" s="17"/>
      <c r="BF135" s="17"/>
      <c r="BG135" s="17"/>
      <c r="BH135" s="17"/>
      <c r="BI135" s="17"/>
      <c r="BJ135" s="17"/>
      <c r="BK135" s="20"/>
      <c r="BT135" s="20"/>
      <c r="BU135" s="20"/>
      <c r="BV135" s="20"/>
      <c r="BW135" s="20"/>
      <c r="BY135" s="17"/>
      <c r="BZ135" s="17"/>
      <c r="CH135" s="17"/>
      <c r="CI135" s="17"/>
      <c r="CK135" s="17"/>
      <c r="CL135" s="17"/>
      <c r="CM135" s="17"/>
    </row>
    <row r="136" spans="1:128">
      <c r="N136" s="3"/>
      <c r="O136" s="3"/>
      <c r="Q136" s="18"/>
      <c r="S136" s="18"/>
      <c r="AD136">
        <f t="shared" si="35"/>
        <v>4</v>
      </c>
      <c r="AG136" s="17"/>
      <c r="AQ136" s="17">
        <f t="shared" si="38"/>
        <v>10.7</v>
      </c>
      <c r="AR136" s="17">
        <v>7.9</v>
      </c>
      <c r="AS136" s="17">
        <v>7.9</v>
      </c>
      <c r="AT136" s="17">
        <f t="shared" si="37"/>
        <v>8</v>
      </c>
      <c r="AY136" s="17"/>
      <c r="BF136" s="17"/>
      <c r="BG136" s="17"/>
      <c r="BH136" s="17"/>
      <c r="BI136" s="17"/>
      <c r="BJ136" s="17"/>
      <c r="BK136" s="20"/>
      <c r="BT136" s="20"/>
      <c r="BU136" s="20"/>
      <c r="BV136" s="20"/>
      <c r="BW136" s="20"/>
      <c r="BY136" s="17"/>
      <c r="BZ136" s="17"/>
      <c r="CH136" s="17"/>
      <c r="CI136" s="17"/>
      <c r="CK136" s="17"/>
      <c r="CL136" s="17"/>
      <c r="CM136" s="17"/>
    </row>
    <row r="137" spans="1:128">
      <c r="D137" s="123" t="s">
        <v>126</v>
      </c>
      <c r="F137" s="38"/>
      <c r="I137" s="170" t="s">
        <v>58</v>
      </c>
      <c r="N137" s="3"/>
      <c r="O137" s="3"/>
      <c r="Q137" s="18"/>
      <c r="S137" s="18"/>
      <c r="AD137">
        <f t="shared" si="35"/>
        <v>1</v>
      </c>
      <c r="AG137" s="17"/>
      <c r="AQ137" s="17">
        <f t="shared" si="38"/>
        <v>12.7</v>
      </c>
      <c r="AR137" s="17">
        <v>8</v>
      </c>
      <c r="AS137" s="17">
        <v>8</v>
      </c>
      <c r="AT137" s="17">
        <f t="shared" si="37"/>
        <v>9</v>
      </c>
      <c r="AY137" s="17"/>
      <c r="BF137" s="17"/>
      <c r="BG137" s="17"/>
      <c r="BH137" s="17"/>
      <c r="BI137" s="17"/>
      <c r="BJ137" s="17"/>
      <c r="BK137" s="20"/>
      <c r="BT137" s="20"/>
      <c r="BU137" s="20"/>
      <c r="BV137" s="20"/>
      <c r="BW137" s="20"/>
      <c r="BY137" s="17"/>
      <c r="BZ137" s="17"/>
      <c r="CH137" s="17"/>
      <c r="CI137" s="17"/>
      <c r="CK137" s="17"/>
      <c r="CL137" s="17"/>
      <c r="CM137" s="17"/>
    </row>
    <row r="138" spans="1:128">
      <c r="A138" s="25"/>
      <c r="B138" s="111"/>
      <c r="C138" s="28"/>
      <c r="D138" s="23" t="s">
        <v>8</v>
      </c>
      <c r="E138" s="40" t="s">
        <v>6</v>
      </c>
      <c r="F138" s="40" t="s">
        <v>5</v>
      </c>
      <c r="G138" s="40" t="s">
        <v>2</v>
      </c>
      <c r="H138" s="40" t="s">
        <v>54</v>
      </c>
      <c r="J138" s="29"/>
      <c r="K138" s="32"/>
      <c r="L138" s="20"/>
      <c r="M138" s="17"/>
      <c r="N138" s="3"/>
      <c r="O138" s="3"/>
      <c r="Q138" s="18"/>
      <c r="S138" s="18"/>
      <c r="AD138">
        <f t="shared" si="35"/>
        <v>1</v>
      </c>
      <c r="AQ138" s="17">
        <f t="shared" si="38"/>
        <v>9</v>
      </c>
      <c r="AR138" s="17">
        <v>9</v>
      </c>
      <c r="AS138" s="17">
        <v>9</v>
      </c>
      <c r="AT138" s="17">
        <f t="shared" si="37"/>
        <v>10</v>
      </c>
      <c r="AY138" s="17"/>
      <c r="BF138" s="17"/>
      <c r="BG138" s="17"/>
      <c r="BH138" s="17"/>
      <c r="BI138" s="17"/>
      <c r="BJ138" s="17"/>
      <c r="BK138" s="20"/>
      <c r="BT138" s="20"/>
      <c r="BU138" s="20"/>
      <c r="BV138" s="20"/>
      <c r="BW138" s="20"/>
      <c r="BY138" s="17"/>
      <c r="BZ138" s="17"/>
      <c r="CH138" s="17"/>
      <c r="CI138" s="17"/>
      <c r="CK138" s="17"/>
      <c r="CL138" s="17"/>
      <c r="CM138" s="17"/>
    </row>
    <row r="139" spans="1:128">
      <c r="C139" s="32"/>
      <c r="D139" s="41" t="s">
        <v>60</v>
      </c>
      <c r="E139" s="41" t="s">
        <v>61</v>
      </c>
      <c r="F139" s="41" t="s">
        <v>62</v>
      </c>
      <c r="G139" s="41" t="s">
        <v>63</v>
      </c>
      <c r="H139" s="41" t="s">
        <v>64</v>
      </c>
      <c r="I139" s="156" t="s">
        <v>65</v>
      </c>
      <c r="K139" s="32"/>
      <c r="M139" s="17"/>
      <c r="N139" s="3"/>
      <c r="O139" s="3"/>
      <c r="Q139" s="18"/>
      <c r="S139" s="18"/>
      <c r="AD139">
        <f t="shared" si="35"/>
        <v>1</v>
      </c>
      <c r="AQ139" s="17">
        <f t="shared" si="38"/>
        <v>7.4</v>
      </c>
      <c r="AR139" s="17">
        <v>10</v>
      </c>
      <c r="AS139" s="17">
        <v>10</v>
      </c>
      <c r="AT139" s="17">
        <f t="shared" si="37"/>
        <v>10.1</v>
      </c>
      <c r="AY139" s="17"/>
      <c r="BF139" s="17"/>
      <c r="BG139" s="17"/>
      <c r="BH139" s="17"/>
      <c r="BI139" s="17"/>
      <c r="BJ139" s="17"/>
      <c r="BK139" s="20"/>
      <c r="BT139" s="20"/>
      <c r="BU139" s="20"/>
      <c r="BV139" s="20"/>
      <c r="BY139" s="17"/>
      <c r="BZ139" s="17"/>
      <c r="CH139" s="17"/>
      <c r="CI139" s="17"/>
      <c r="CK139" s="17"/>
      <c r="CL139" s="17"/>
      <c r="CM139" s="17"/>
    </row>
    <row r="140" spans="1:128">
      <c r="C140" s="32"/>
      <c r="D140" s="71">
        <f t="array" ref="D140:I144">LINEST(B112:B125,G112:K125,1,1)</f>
        <v>576.78036230364296</v>
      </c>
      <c r="E140" s="49">
        <v>-951.40503248562629</v>
      </c>
      <c r="F140" s="49">
        <v>4732.3064203130252</v>
      </c>
      <c r="G140" s="49">
        <v>8201.0166759397925</v>
      </c>
      <c r="H140" s="49">
        <v>-3.6248722592053895</v>
      </c>
      <c r="I140" s="49">
        <v>120510.60005937066</v>
      </c>
      <c r="J140" s="162"/>
      <c r="K140" s="32"/>
      <c r="N140" s="3"/>
      <c r="O140" s="3"/>
      <c r="Q140" s="18"/>
      <c r="S140" s="18"/>
      <c r="AD140">
        <f t="shared" si="35"/>
        <v>2</v>
      </c>
      <c r="AQ140" s="17">
        <f t="shared" si="38"/>
        <v>7.8</v>
      </c>
      <c r="AR140" s="17">
        <v>10.1</v>
      </c>
      <c r="AS140" s="17">
        <v>10.1</v>
      </c>
      <c r="AT140" s="17">
        <f t="shared" si="37"/>
        <v>10.5</v>
      </c>
      <c r="AY140" s="17"/>
      <c r="BF140" s="17"/>
      <c r="BG140" s="17"/>
      <c r="BH140" s="17"/>
      <c r="BI140" s="17"/>
      <c r="BJ140" s="17"/>
      <c r="BK140" s="20"/>
      <c r="BS140" s="17"/>
      <c r="BT140" s="17"/>
      <c r="BU140" s="17"/>
      <c r="BY140" s="17"/>
      <c r="BZ140" s="17"/>
      <c r="CH140" s="17"/>
      <c r="CI140" s="17"/>
      <c r="CK140" s="17"/>
      <c r="CL140" s="17"/>
      <c r="CM140" s="17"/>
    </row>
    <row r="141" spans="1:128">
      <c r="C141" s="32"/>
      <c r="D141" s="44">
        <v>746.66699370928723</v>
      </c>
      <c r="E141" s="45">
        <v>368.11708088381147</v>
      </c>
      <c r="F141" s="45">
        <v>1369.0543623601718</v>
      </c>
      <c r="G141" s="45">
        <v>2485.822497738528</v>
      </c>
      <c r="H141" s="45">
        <v>2.5561525894439341</v>
      </c>
      <c r="I141" s="45">
        <v>17812.320081372232</v>
      </c>
      <c r="J141" s="162"/>
      <c r="K141" s="32"/>
      <c r="S141" s="18"/>
      <c r="AD141">
        <f t="shared" si="35"/>
        <v>1</v>
      </c>
      <c r="AQ141" s="17">
        <f t="shared" si="38"/>
        <v>8</v>
      </c>
      <c r="AR141" s="17">
        <v>10.5</v>
      </c>
      <c r="AS141" s="17">
        <v>10.5</v>
      </c>
      <c r="AT141" s="17">
        <f t="shared" si="37"/>
        <v>10.7</v>
      </c>
      <c r="AY141" s="17"/>
      <c r="BI141" s="17"/>
      <c r="BJ141" s="17"/>
      <c r="BK141" s="20"/>
      <c r="BS141" s="17"/>
      <c r="BT141" s="17"/>
      <c r="BU141" s="17"/>
      <c r="BV141" s="17"/>
      <c r="BY141" s="17"/>
      <c r="BZ141" s="17"/>
      <c r="CH141" s="17"/>
      <c r="CI141" s="17"/>
      <c r="CK141" s="17"/>
      <c r="CL141" s="17"/>
      <c r="CM141" s="17"/>
    </row>
    <row r="142" spans="1:128">
      <c r="C142" s="56" t="s">
        <v>66</v>
      </c>
      <c r="D142" s="46">
        <v>0.84585327794961862</v>
      </c>
      <c r="E142" s="45">
        <v>3875.0473484050003</v>
      </c>
      <c r="F142" s="47" t="e">
        <v>#N/A</v>
      </c>
      <c r="G142" s="48" t="e">
        <v>#N/A</v>
      </c>
      <c r="H142" s="48" t="e">
        <v>#N/A</v>
      </c>
      <c r="I142" s="48" t="e">
        <v>#N/A</v>
      </c>
      <c r="J142" s="162"/>
      <c r="K142" s="32"/>
      <c r="S142" s="18"/>
      <c r="AD142">
        <f t="shared" si="35"/>
        <v>1</v>
      </c>
      <c r="AQ142" s="17">
        <f t="shared" si="38"/>
        <v>13</v>
      </c>
      <c r="AR142" s="17">
        <v>10.7</v>
      </c>
      <c r="AS142" s="17">
        <v>10.7</v>
      </c>
      <c r="AT142" s="17">
        <f t="shared" si="37"/>
        <v>11.5</v>
      </c>
      <c r="AY142" s="17"/>
      <c r="BI142" s="17"/>
      <c r="BJ142" s="17"/>
      <c r="BK142" s="20"/>
      <c r="BS142" s="17"/>
      <c r="BT142" s="17"/>
      <c r="BU142" s="17"/>
      <c r="BV142" s="17"/>
      <c r="BY142" s="17"/>
      <c r="BZ142" s="17"/>
      <c r="CH142" s="17"/>
      <c r="CI142" s="17"/>
      <c r="CK142" s="17"/>
      <c r="CL142" s="17"/>
      <c r="CM142" s="17"/>
    </row>
    <row r="143" spans="1:128">
      <c r="C143" s="32"/>
      <c r="D143" s="50">
        <v>8.7797212079349674</v>
      </c>
      <c r="E143" s="51">
        <v>8</v>
      </c>
      <c r="F143" s="52" t="e">
        <v>#N/A</v>
      </c>
      <c r="G143" s="51" t="e">
        <v>#N/A</v>
      </c>
      <c r="H143" s="51" t="e">
        <v>#N/A</v>
      </c>
      <c r="I143" s="51" t="e">
        <v>#N/A</v>
      </c>
      <c r="J143" s="162"/>
      <c r="K143" s="32"/>
      <c r="S143" s="18"/>
      <c r="AD143">
        <f t="shared" si="35"/>
        <v>3</v>
      </c>
      <c r="AQ143" s="17">
        <f t="shared" si="38"/>
        <v>7.9</v>
      </c>
      <c r="AR143" s="17">
        <v>11.5</v>
      </c>
      <c r="AS143" s="17">
        <v>11.5</v>
      </c>
      <c r="AT143" s="17">
        <f t="shared" si="37"/>
        <v>12.7</v>
      </c>
      <c r="AY143" s="17"/>
      <c r="BI143" s="17"/>
      <c r="BJ143" s="17"/>
      <c r="BK143" s="20"/>
      <c r="BS143" s="17"/>
      <c r="BT143" s="17"/>
      <c r="BU143" s="17"/>
      <c r="BV143" s="17"/>
      <c r="BY143" s="17"/>
      <c r="BZ143" s="17"/>
      <c r="CK143" s="17"/>
      <c r="CL143" s="17"/>
      <c r="CM143" s="17"/>
    </row>
    <row r="144" spans="1:128">
      <c r="C144" s="32"/>
      <c r="D144" s="53">
        <v>659181115.01248479</v>
      </c>
      <c r="E144" s="54">
        <v>120127935.61904499</v>
      </c>
      <c r="F144" s="53" t="e">
        <v>#N/A</v>
      </c>
      <c r="G144" s="55" t="e">
        <v>#N/A</v>
      </c>
      <c r="H144" s="55" t="e">
        <v>#N/A</v>
      </c>
      <c r="I144" s="55" t="e">
        <v>#N/A</v>
      </c>
      <c r="J144" s="162"/>
      <c r="K144" s="32"/>
      <c r="S144" s="18"/>
      <c r="AD144">
        <f t="shared" si="35"/>
        <v>1</v>
      </c>
      <c r="AQ144" s="17">
        <f t="shared" si="38"/>
        <v>10</v>
      </c>
      <c r="AR144" s="17">
        <v>12.7</v>
      </c>
      <c r="AS144" s="17">
        <v>12.7</v>
      </c>
      <c r="AT144" s="17">
        <f t="shared" si="37"/>
        <v>13</v>
      </c>
      <c r="AY144" s="17"/>
      <c r="BI144" s="17"/>
      <c r="BJ144" s="17"/>
      <c r="BK144" s="20"/>
      <c r="BS144" s="17"/>
      <c r="BT144" s="17"/>
      <c r="BU144" s="17"/>
      <c r="BV144" s="17"/>
      <c r="BY144" s="17"/>
      <c r="BZ144" s="17"/>
      <c r="CK144" s="17"/>
      <c r="CL144" s="17"/>
      <c r="CM144" s="17"/>
    </row>
    <row r="145" spans="1:91">
      <c r="C145" s="32"/>
      <c r="J145" s="3"/>
      <c r="K145" s="32"/>
      <c r="S145" s="18"/>
      <c r="AD145">
        <f t="shared" si="35"/>
        <v>1</v>
      </c>
      <c r="AQ145" s="17">
        <f t="shared" si="38"/>
        <v>10.5</v>
      </c>
      <c r="AR145" s="17">
        <v>13</v>
      </c>
      <c r="AS145" s="17">
        <v>13</v>
      </c>
      <c r="AT145" s="19"/>
      <c r="AY145" s="17"/>
      <c r="BI145" s="17"/>
      <c r="BJ145" s="17"/>
      <c r="BK145" s="20"/>
      <c r="BS145" s="17"/>
      <c r="BT145" s="17"/>
      <c r="BU145" s="17"/>
      <c r="BV145" s="17"/>
      <c r="BY145" s="17"/>
      <c r="BZ145" s="17"/>
      <c r="CK145" s="17"/>
      <c r="CL145" s="17"/>
      <c r="CM145" s="17"/>
    </row>
    <row r="146" spans="1:91" ht="36" customHeight="1">
      <c r="B146" s="57" t="s">
        <v>125</v>
      </c>
      <c r="C146" s="56" t="s">
        <v>68</v>
      </c>
      <c r="D146" s="58">
        <f t="shared" ref="D146:H146" si="39">ABS(D140/D141)</f>
        <v>0.77247336116776422</v>
      </c>
      <c r="E146" s="58">
        <f t="shared" si="39"/>
        <v>2.5845174861253386</v>
      </c>
      <c r="F146" s="58">
        <f t="shared" si="39"/>
        <v>3.456624185583689</v>
      </c>
      <c r="G146" s="58">
        <f t="shared" si="39"/>
        <v>3.2991159599692459</v>
      </c>
      <c r="H146" s="58">
        <f t="shared" si="39"/>
        <v>1.4180969767512763</v>
      </c>
      <c r="I146" s="58"/>
      <c r="J146" s="58"/>
      <c r="K146" s="32"/>
      <c r="Z146" s="142"/>
      <c r="AA146" s="142"/>
      <c r="AB146" s="142"/>
      <c r="AC146" s="142"/>
      <c r="AQ146" s="17">
        <f t="shared" si="38"/>
        <v>10.1</v>
      </c>
      <c r="AS146" s="19"/>
      <c r="AT146" s="19"/>
      <c r="AY146" s="17"/>
      <c r="BI146" s="17"/>
      <c r="BJ146" s="17"/>
      <c r="BK146" s="20"/>
      <c r="BV146" s="17"/>
      <c r="BY146" s="17"/>
      <c r="BZ146" s="17"/>
      <c r="CK146" s="17"/>
      <c r="CL146" s="17"/>
      <c r="CM146" s="17"/>
    </row>
    <row r="147" spans="1:91" ht="15" customHeight="1">
      <c r="B147" s="57" t="s">
        <v>69</v>
      </c>
      <c r="C147" s="56" t="s">
        <v>70</v>
      </c>
      <c r="D147" s="58">
        <f t="shared" ref="D147:H147" si="40">TDIST(D146,$E$89,1)</f>
        <v>0.23102150822753836</v>
      </c>
      <c r="E147" s="58">
        <f t="shared" si="40"/>
        <v>1.619400341642234E-2</v>
      </c>
      <c r="F147" s="58">
        <f t="shared" si="40"/>
        <v>4.305221750420047E-3</v>
      </c>
      <c r="G147" s="94">
        <f t="shared" si="40"/>
        <v>5.4365873709413988E-3</v>
      </c>
      <c r="H147" s="58">
        <f t="shared" si="40"/>
        <v>9.6958958757113661E-2</v>
      </c>
      <c r="I147" s="58"/>
      <c r="J147" s="58"/>
      <c r="K147" s="32"/>
      <c r="AQ147" s="17">
        <f t="shared" si="38"/>
        <v>10.5</v>
      </c>
      <c r="AS147" s="19"/>
      <c r="AT147" s="19"/>
      <c r="AY147" s="17"/>
      <c r="BI147" s="17"/>
      <c r="BJ147" s="17"/>
      <c r="BK147" s="20"/>
      <c r="BV147" s="17"/>
      <c r="BY147" s="17"/>
      <c r="BZ147" s="17"/>
      <c r="CK147" s="17"/>
      <c r="CL147" s="17"/>
      <c r="CM147" s="17"/>
    </row>
    <row r="148" spans="1:91" ht="21" customHeight="1">
      <c r="C148" s="56" t="s">
        <v>71</v>
      </c>
      <c r="D148" s="116">
        <f t="shared" ref="D148:H148" si="41">1-D147</f>
        <v>0.76897849177246158</v>
      </c>
      <c r="E148" s="121">
        <f t="shared" si="41"/>
        <v>0.9838059965835777</v>
      </c>
      <c r="F148" s="121">
        <f t="shared" si="41"/>
        <v>0.99569477824957997</v>
      </c>
      <c r="G148" s="118">
        <f t="shared" si="41"/>
        <v>0.99456341262905856</v>
      </c>
      <c r="H148" s="116">
        <f t="shared" si="41"/>
        <v>0.90304104124288631</v>
      </c>
      <c r="I148" s="116"/>
      <c r="J148" s="59"/>
      <c r="K148" s="32"/>
      <c r="AQ148" s="17"/>
      <c r="AS148" s="19"/>
      <c r="AT148" s="19"/>
      <c r="AY148" s="17"/>
      <c r="BI148" s="17"/>
      <c r="BJ148" s="17"/>
      <c r="BK148" s="20"/>
      <c r="BV148" s="17"/>
      <c r="BY148" s="17"/>
      <c r="BZ148" s="17"/>
      <c r="CK148" s="17"/>
      <c r="CL148" s="17"/>
    </row>
    <row r="149" spans="1:91">
      <c r="C149" s="56" t="s">
        <v>72</v>
      </c>
      <c r="D149" s="23" t="s">
        <v>74</v>
      </c>
      <c r="E149" s="23" t="s">
        <v>74</v>
      </c>
      <c r="F149" s="23" t="s">
        <v>74</v>
      </c>
      <c r="G149" s="23" t="s">
        <v>74</v>
      </c>
      <c r="H149" s="23" t="s">
        <v>74</v>
      </c>
      <c r="I149" s="23"/>
      <c r="J149" s="23"/>
      <c r="K149" s="32"/>
      <c r="R149" s="18"/>
      <c r="S149" s="18"/>
      <c r="AQ149" s="17"/>
      <c r="AS149" s="19"/>
      <c r="AX149" s="17"/>
      <c r="AY149" s="17"/>
      <c r="BI149" s="17"/>
      <c r="BJ149" s="17"/>
      <c r="BK149" s="20"/>
      <c r="BV149" s="17"/>
      <c r="BY149" s="17"/>
      <c r="BZ149" s="17"/>
      <c r="CK149" s="17"/>
      <c r="CL149" s="17"/>
    </row>
    <row r="150" spans="1:91">
      <c r="C150" s="60" t="s">
        <v>75</v>
      </c>
      <c r="D150" s="61"/>
      <c r="E150" s="62">
        <f>E144/(E143+1)</f>
        <v>13347548.402116111</v>
      </c>
      <c r="F150" s="35"/>
      <c r="G150" s="35"/>
      <c r="H150" s="35"/>
      <c r="I150" s="35"/>
      <c r="J150" s="35"/>
      <c r="K150" s="32"/>
      <c r="S150" s="18"/>
      <c r="AQ150" s="17"/>
      <c r="AX150" s="17"/>
      <c r="AY150" s="17"/>
      <c r="BJ150" s="17"/>
      <c r="BK150" s="20"/>
      <c r="BV150" s="17"/>
      <c r="BY150" s="17"/>
      <c r="BZ150" s="17"/>
      <c r="CK150" s="17"/>
      <c r="CL150" s="17"/>
    </row>
    <row r="151" spans="1:91">
      <c r="R151" s="18"/>
      <c r="S151" s="18"/>
      <c r="AX151" s="17"/>
      <c r="AY151" s="17"/>
      <c r="BI151" s="17"/>
      <c r="BJ151" s="17"/>
      <c r="BK151" s="20"/>
      <c r="BV151" s="17"/>
      <c r="BY151" s="17"/>
      <c r="BZ151" s="17"/>
      <c r="CK151" s="17"/>
      <c r="CL151" s="20"/>
    </row>
    <row r="152" spans="1:91">
      <c r="R152" s="18"/>
      <c r="S152" s="18"/>
      <c r="AD152" s="185"/>
      <c r="AE152" s="185"/>
      <c r="AF152" s="185"/>
      <c r="BI152" s="17"/>
      <c r="BJ152" s="17"/>
      <c r="BK152" s="20"/>
      <c r="BV152" s="17"/>
      <c r="BY152" s="17"/>
      <c r="CK152" s="17"/>
      <c r="CL152" s="20"/>
    </row>
    <row r="153" spans="1:91">
      <c r="C153" s="143" t="s">
        <v>114</v>
      </c>
      <c r="D153" s="144"/>
      <c r="E153" s="144"/>
      <c r="F153" s="144"/>
      <c r="G153" s="144"/>
      <c r="H153" s="144"/>
      <c r="I153" s="144"/>
      <c r="J153" s="144"/>
      <c r="K153" s="144"/>
      <c r="R153" s="18"/>
      <c r="S153" s="18"/>
      <c r="BI153" s="17"/>
      <c r="BJ153" s="17"/>
      <c r="BV153" s="17"/>
      <c r="BY153" s="17"/>
      <c r="CK153" s="17"/>
      <c r="CL153" s="20"/>
    </row>
    <row r="154" spans="1:91">
      <c r="C154" s="143" t="s">
        <v>97</v>
      </c>
      <c r="D154" s="144"/>
      <c r="E154" s="144"/>
      <c r="F154" s="144"/>
      <c r="G154" s="144"/>
      <c r="H154" s="144"/>
      <c r="I154" s="144"/>
      <c r="J154" s="144"/>
      <c r="K154" s="144"/>
      <c r="R154" s="18"/>
      <c r="S154" s="18"/>
      <c r="BI154" s="17"/>
      <c r="BJ154" s="17"/>
      <c r="BV154" s="17"/>
      <c r="BY154" s="17"/>
      <c r="CK154" s="17"/>
      <c r="CL154" s="20"/>
    </row>
    <row r="155" spans="1:91">
      <c r="R155" s="18"/>
      <c r="S155" s="18"/>
      <c r="BI155" s="17"/>
      <c r="BJ155" s="17"/>
      <c r="BV155" s="17"/>
      <c r="BY155" s="17"/>
      <c r="CK155" s="17"/>
      <c r="CL155" s="20"/>
    </row>
    <row r="156" spans="1:91">
      <c r="C156" s="68"/>
      <c r="R156" s="18"/>
      <c r="S156" s="18"/>
      <c r="AF156" s="17"/>
      <c r="AG156" s="17"/>
      <c r="BI156" s="17"/>
      <c r="BJ156" s="17"/>
      <c r="BV156" s="17"/>
      <c r="BY156" s="17"/>
      <c r="CK156" s="17"/>
      <c r="CL156" s="20"/>
    </row>
    <row r="157" spans="1:91" ht="31">
      <c r="A157" s="192" t="s">
        <v>94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V157" s="17"/>
      <c r="BW157" s="17"/>
      <c r="BY157" s="17"/>
      <c r="CK157" s="17"/>
      <c r="CL157" s="20"/>
    </row>
    <row r="158" spans="1:91" ht="16" thickBot="1">
      <c r="E158" s="38"/>
      <c r="BG158" s="92"/>
      <c r="BH158" s="63"/>
      <c r="BV158" s="17"/>
      <c r="BW158" s="17"/>
      <c r="CK158" s="17"/>
      <c r="CL158" s="20"/>
    </row>
    <row r="159" spans="1:91" ht="16" thickBot="1">
      <c r="B159" s="64" t="s">
        <v>79</v>
      </c>
      <c r="D159" s="145" t="s">
        <v>100</v>
      </c>
      <c r="E159" s="66"/>
      <c r="F159" s="66"/>
      <c r="G159" s="66"/>
      <c r="H159" s="66"/>
      <c r="I159" s="66"/>
      <c r="J159" s="66"/>
      <c r="K159" s="66"/>
      <c r="L159" s="66"/>
      <c r="BV159" s="17"/>
      <c r="BW159" s="17"/>
      <c r="CK159" s="17"/>
      <c r="CL159" s="20"/>
    </row>
    <row r="160" spans="1:91">
      <c r="D160" s="66" t="s">
        <v>115</v>
      </c>
      <c r="BV160" s="17"/>
      <c r="BW160" s="17"/>
      <c r="CK160" s="17"/>
      <c r="CL160" s="20"/>
    </row>
    <row r="161" spans="1:135">
      <c r="C161" s="67"/>
      <c r="D161" s="68" t="s">
        <v>152</v>
      </c>
      <c r="G161" s="68"/>
      <c r="H161" s="68"/>
      <c r="I161" s="68"/>
      <c r="BV161" s="17"/>
      <c r="BW161" s="17"/>
      <c r="CL161" s="20"/>
    </row>
    <row r="162" spans="1:135" ht="15" customHeight="1">
      <c r="M162" s="184" t="s">
        <v>54</v>
      </c>
      <c r="N162" s="184"/>
      <c r="O162" s="184"/>
      <c r="Y162" s="184" t="s">
        <v>6</v>
      </c>
      <c r="Z162" s="184"/>
      <c r="AA162" s="184"/>
      <c r="BV162" s="17"/>
      <c r="BW162" s="17"/>
      <c r="CL162" s="20"/>
    </row>
    <row r="163" spans="1:135">
      <c r="A163" s="21" t="s">
        <v>44</v>
      </c>
      <c r="B163" s="22" t="s">
        <v>45</v>
      </c>
      <c r="C163" s="22" t="s">
        <v>46</v>
      </c>
      <c r="G163" s="22" t="s">
        <v>47</v>
      </c>
      <c r="H163" s="22" t="s">
        <v>48</v>
      </c>
      <c r="I163" s="22" t="s">
        <v>49</v>
      </c>
      <c r="J163" s="22" t="s">
        <v>50</v>
      </c>
      <c r="K163" s="22" t="s">
        <v>51</v>
      </c>
      <c r="M163" s="186" t="s">
        <v>77</v>
      </c>
      <c r="N163" s="188" t="s">
        <v>86</v>
      </c>
      <c r="O163" s="189" t="s">
        <v>84</v>
      </c>
      <c r="Y163" s="182" t="s">
        <v>77</v>
      </c>
      <c r="Z163" s="182" t="s">
        <v>86</v>
      </c>
      <c r="AA163" s="182" t="s">
        <v>78</v>
      </c>
      <c r="AW163" s="146"/>
      <c r="AX163" s="146"/>
      <c r="AY163" s="146"/>
      <c r="BV163" s="17"/>
      <c r="BW163" s="17"/>
      <c r="CL163" s="20"/>
    </row>
    <row r="164" spans="1:135" ht="15" customHeight="1">
      <c r="D164" s="87" t="s">
        <v>52</v>
      </c>
      <c r="E164" s="87" t="s">
        <v>53</v>
      </c>
      <c r="F164" s="23"/>
      <c r="G164" s="23" t="s">
        <v>54</v>
      </c>
      <c r="H164" s="23" t="s">
        <v>2</v>
      </c>
      <c r="I164" s="24" t="s">
        <v>5</v>
      </c>
      <c r="J164" s="24" t="s">
        <v>6</v>
      </c>
      <c r="K164" s="23" t="s">
        <v>8</v>
      </c>
      <c r="M164" s="187"/>
      <c r="N164" s="182"/>
      <c r="O164" s="190"/>
      <c r="Y164" s="182"/>
      <c r="Z164" s="182"/>
      <c r="AA164" s="182"/>
      <c r="AW164" s="146"/>
      <c r="AX164" s="146"/>
      <c r="AY164" s="146"/>
      <c r="BV164" s="17"/>
      <c r="BW164" s="17"/>
    </row>
    <row r="165" spans="1:135">
      <c r="A165" s="25">
        <f t="shared" ref="A165:A178" si="42">A29</f>
        <v>1</v>
      </c>
      <c r="B165" s="26">
        <f>D29</f>
        <v>75862.068965517246</v>
      </c>
      <c r="C165" s="85">
        <f t="shared" ref="C165:C178" si="43">TREND($B$165:$B$178,$G$165:$K$178,G165:K165,1)</f>
        <v>76151.377740217969</v>
      </c>
      <c r="D165" s="27">
        <f t="shared" ref="D165:D178" si="44">(C165-B165)/B165</f>
        <v>3.8136156665095301E-3</v>
      </c>
      <c r="E165" s="27">
        <f t="shared" ref="E165:E178" si="45">ABS(D165)</f>
        <v>3.8136156665095301E-3</v>
      </c>
      <c r="G165" s="97">
        <f t="shared" ref="G165:G178" si="46">VLOOKUP(M165,$N$165:$O$177,2,0)</f>
        <v>1494.6249624069073</v>
      </c>
      <c r="H165" s="157">
        <f>F29</f>
        <v>1</v>
      </c>
      <c r="I165" s="157">
        <f>VLOOKUP(Y197,$Z$197:$AA$200,2,0)</f>
        <v>1</v>
      </c>
      <c r="J165" s="158">
        <f t="shared" ref="J165:J178" si="47">VLOOKUP(Y167,$Z$167:$AA$179,2,0)</f>
        <v>60.141258271236104</v>
      </c>
      <c r="K165" s="164">
        <f t="shared" ref="K165:K178" si="48">VLOOKUP(AK199,$AL$199:$AM$268,2,0)</f>
        <v>10.803550153742743</v>
      </c>
      <c r="M165" s="18">
        <f>E29</f>
        <v>1500</v>
      </c>
      <c r="N165">
        <v>80</v>
      </c>
      <c r="O165" s="18">
        <v>80</v>
      </c>
      <c r="P165" s="18">
        <f t="shared" ref="P165:P176" si="49">O166</f>
        <v>79.999999999985775</v>
      </c>
      <c r="Y165" s="183"/>
      <c r="Z165" s="183"/>
      <c r="AA165" s="183"/>
      <c r="AW165" s="17"/>
      <c r="AX165" s="17"/>
      <c r="AY165" s="17"/>
      <c r="AZ165" s="17"/>
      <c r="BV165" s="17"/>
      <c r="ED165" s="80"/>
      <c r="EE165" s="80"/>
    </row>
    <row r="166" spans="1:135" ht="15.75" customHeight="1">
      <c r="A166" s="25">
        <f t="shared" si="42"/>
        <v>2</v>
      </c>
      <c r="B166" s="26">
        <f t="shared" ref="B166:B178" si="50">D30</f>
        <v>90769.230769230766</v>
      </c>
      <c r="C166" s="85">
        <f t="shared" si="43"/>
        <v>90474.739612508492</v>
      </c>
      <c r="D166" s="27">
        <f t="shared" si="44"/>
        <v>-3.2443940994826737E-3</v>
      </c>
      <c r="E166" s="27">
        <f t="shared" si="45"/>
        <v>3.2443940994826737E-3</v>
      </c>
      <c r="G166" s="97">
        <f t="shared" si="46"/>
        <v>1494.6249624069917</v>
      </c>
      <c r="H166" s="157">
        <f t="shared" ref="H166:H178" si="51">F30</f>
        <v>2</v>
      </c>
      <c r="I166" s="157">
        <f t="shared" ref="I166:I175" si="52">VLOOKUP(Y198,$Z$197:$AA$200,2,0)</f>
        <v>3.5810132480699184</v>
      </c>
      <c r="J166" s="158">
        <f t="shared" si="47"/>
        <v>60.378888033496501</v>
      </c>
      <c r="K166" s="164">
        <f t="shared" si="48"/>
        <v>7.399999999998613</v>
      </c>
      <c r="M166" s="18">
        <f t="shared" ref="M166:M178" si="53">E30</f>
        <v>1200</v>
      </c>
      <c r="N166" s="18">
        <v>190</v>
      </c>
      <c r="O166" s="18">
        <v>79.999999999985775</v>
      </c>
      <c r="P166" s="18">
        <f t="shared" si="49"/>
        <v>79.999999999985775</v>
      </c>
      <c r="AW166" s="17"/>
      <c r="AX166" s="17"/>
      <c r="AY166" s="17"/>
      <c r="AZ166" s="17"/>
      <c r="CH166" s="185"/>
      <c r="CI166" s="185"/>
      <c r="CJ166" s="185"/>
    </row>
    <row r="167" spans="1:135" ht="15" customHeight="1">
      <c r="A167" s="25">
        <f t="shared" si="42"/>
        <v>3</v>
      </c>
      <c r="B167" s="26">
        <f t="shared" si="50"/>
        <v>94876.660341555966</v>
      </c>
      <c r="C167" s="85">
        <f t="shared" si="43"/>
        <v>96113.587151711981</v>
      </c>
      <c r="D167" s="27">
        <f t="shared" si="44"/>
        <v>1.3037208579044406E-2</v>
      </c>
      <c r="E167" s="27">
        <f t="shared" si="45"/>
        <v>1.3037208579044406E-2</v>
      </c>
      <c r="G167" s="97">
        <f t="shared" si="46"/>
        <v>79.999999999985775</v>
      </c>
      <c r="H167" s="157">
        <f t="shared" si="51"/>
        <v>2</v>
      </c>
      <c r="I167" s="157">
        <f t="shared" si="52"/>
        <v>1</v>
      </c>
      <c r="J167" s="158">
        <f t="shared" si="47"/>
        <v>55.489106282014475</v>
      </c>
      <c r="K167" s="164">
        <f t="shared" si="48"/>
        <v>10.803550153744604</v>
      </c>
      <c r="M167" s="18">
        <f t="shared" si="53"/>
        <v>440</v>
      </c>
      <c r="N167" s="18">
        <v>380</v>
      </c>
      <c r="O167" s="18">
        <v>79.999999999985775</v>
      </c>
      <c r="P167" s="18">
        <f t="shared" si="49"/>
        <v>79.999999999985775</v>
      </c>
      <c r="Y167" s="17">
        <f t="shared" ref="Y167:Y180" si="54">H29</f>
        <v>58</v>
      </c>
      <c r="Z167" s="17">
        <v>51.7</v>
      </c>
      <c r="AA167" s="17">
        <v>51.7</v>
      </c>
      <c r="AB167" s="17">
        <f t="shared" ref="AB167:AB177" si="55">AA168</f>
        <v>54.531298692732555</v>
      </c>
      <c r="AW167" s="17"/>
      <c r="AY167" s="17"/>
      <c r="AZ167" s="17"/>
      <c r="CH167" s="182"/>
      <c r="CI167" s="182"/>
      <c r="CJ167" s="182"/>
      <c r="DL167">
        <v>1</v>
      </c>
      <c r="DM167">
        <v>-5887.5093246393371</v>
      </c>
      <c r="DN167">
        <f>NORMSINV(1-0.5^(1/31))</f>
        <v>-2.0119716331356474</v>
      </c>
      <c r="DO167" s="76">
        <f>1-0.5^(1/31)</f>
        <v>2.2111463664567288E-2</v>
      </c>
      <c r="DP167" s="76">
        <f t="shared" ref="DN167:DP189" si="56">DL167/31</f>
        <v>3.2258064516129031E-2</v>
      </c>
      <c r="DQ167" s="76">
        <f t="shared" ref="DQ167:DQ178" si="57">NORMDIST(DM167,0,$DM$191,1)</f>
        <v>8.6848809923655637E-2</v>
      </c>
    </row>
    <row r="168" spans="1:135">
      <c r="A168" s="25">
        <f t="shared" si="42"/>
        <v>4</v>
      </c>
      <c r="B168" s="26">
        <f t="shared" si="50"/>
        <v>87903.225806451606</v>
      </c>
      <c r="C168" s="85">
        <f t="shared" si="43"/>
        <v>87903.226325924363</v>
      </c>
      <c r="D168" s="27">
        <f t="shared" si="44"/>
        <v>5.9095983299503635E-9</v>
      </c>
      <c r="E168" s="27">
        <f t="shared" si="45"/>
        <v>5.9095983299503635E-9</v>
      </c>
      <c r="G168" s="97">
        <f t="shared" si="46"/>
        <v>79.999999999985775</v>
      </c>
      <c r="H168" s="157">
        <f t="shared" si="51"/>
        <v>1</v>
      </c>
      <c r="I168" s="157">
        <f t="shared" si="52"/>
        <v>2.2537536924287291</v>
      </c>
      <c r="J168" s="158">
        <f t="shared" si="47"/>
        <v>60.378888033491322</v>
      </c>
      <c r="K168" s="164">
        <f t="shared" si="48"/>
        <v>11.2507800328501</v>
      </c>
      <c r="M168" s="18">
        <f t="shared" si="53"/>
        <v>190</v>
      </c>
      <c r="N168" s="18">
        <v>440</v>
      </c>
      <c r="O168" s="18">
        <v>79.999999999985775</v>
      </c>
      <c r="P168" s="18">
        <f t="shared" si="49"/>
        <v>79.999999999985775</v>
      </c>
      <c r="Y168" s="17">
        <f t="shared" si="54"/>
        <v>65</v>
      </c>
      <c r="Z168" s="17">
        <v>52</v>
      </c>
      <c r="AA168" s="17">
        <v>54.531298692732555</v>
      </c>
      <c r="AB168" s="17">
        <f t="shared" si="55"/>
        <v>55.489106282014475</v>
      </c>
      <c r="AW168" s="17"/>
      <c r="AX168" s="17"/>
      <c r="AY168" s="17"/>
      <c r="AZ168" s="17"/>
      <c r="CH168" s="182"/>
      <c r="CI168" s="182"/>
      <c r="CJ168" s="182"/>
      <c r="DL168">
        <v>2</v>
      </c>
      <c r="DM168">
        <v>-5611.6041617416049</v>
      </c>
      <c r="DN168">
        <f t="shared" ref="DL168:DN188" si="58">NORMSINV((DL168-0.3175)/(31+0.365))</f>
        <v>-1.6105162973596783</v>
      </c>
      <c r="DO168" s="76">
        <f t="shared" ref="DM168:DO188" si="59">(DL168-0.3175)/(31+0.365)</f>
        <v>5.3642595249481916E-2</v>
      </c>
      <c r="DP168" s="76">
        <f t="shared" si="56"/>
        <v>6.4516129032258063E-2</v>
      </c>
      <c r="DQ168" s="76">
        <f t="shared" si="57"/>
        <v>9.7373203445100656E-2</v>
      </c>
    </row>
    <row r="169" spans="1:135">
      <c r="A169" s="25">
        <f t="shared" si="42"/>
        <v>5</v>
      </c>
      <c r="B169" s="26">
        <f t="shared" si="50"/>
        <v>103571.42857142857</v>
      </c>
      <c r="C169" s="85">
        <f t="shared" si="43"/>
        <v>103851.46602626063</v>
      </c>
      <c r="D169" s="27">
        <f t="shared" si="44"/>
        <v>2.7038099087234226E-3</v>
      </c>
      <c r="E169" s="27">
        <f t="shared" si="45"/>
        <v>2.7038099087234226E-3</v>
      </c>
      <c r="G169" s="97">
        <f t="shared" si="46"/>
        <v>79.999999999985775</v>
      </c>
      <c r="H169" s="157">
        <f t="shared" si="51"/>
        <v>2</v>
      </c>
      <c r="I169" s="157">
        <f t="shared" si="52"/>
        <v>3.5810132480702883</v>
      </c>
      <c r="J169" s="158">
        <f t="shared" si="47"/>
        <v>55.489106282031344</v>
      </c>
      <c r="K169" s="164">
        <f t="shared" si="48"/>
        <v>7.399999999998613</v>
      </c>
      <c r="M169" s="18">
        <f t="shared" si="53"/>
        <v>600</v>
      </c>
      <c r="N169" s="18">
        <v>490</v>
      </c>
      <c r="O169" s="18">
        <v>79.999999999985775</v>
      </c>
      <c r="P169" s="18">
        <f t="shared" si="49"/>
        <v>79.999999999985775</v>
      </c>
      <c r="Y169" s="17">
        <f t="shared" si="54"/>
        <v>52.7</v>
      </c>
      <c r="Z169" s="17">
        <v>52.5</v>
      </c>
      <c r="AA169" s="17">
        <v>55.489106282014475</v>
      </c>
      <c r="AB169" s="17">
        <f t="shared" si="55"/>
        <v>55.489106282014475</v>
      </c>
      <c r="AW169" s="17"/>
      <c r="AX169" s="17"/>
      <c r="AY169" s="17"/>
      <c r="AZ169" s="17"/>
      <c r="CH169" s="17"/>
      <c r="CI169" s="17"/>
      <c r="CJ169" s="17"/>
      <c r="CK169" s="17"/>
      <c r="DL169">
        <v>3</v>
      </c>
      <c r="DM169">
        <v>-4797.631452523492</v>
      </c>
      <c r="DN169">
        <f t="shared" si="58"/>
        <v>-1.368836034954126</v>
      </c>
      <c r="DO169" s="76">
        <f t="shared" si="59"/>
        <v>8.5525267017376061E-2</v>
      </c>
      <c r="DP169" s="76">
        <f t="shared" si="56"/>
        <v>9.6774193548387094E-2</v>
      </c>
      <c r="DQ169" s="76">
        <f t="shared" si="57"/>
        <v>0.13380533495335709</v>
      </c>
    </row>
    <row r="170" spans="1:135">
      <c r="A170" s="25">
        <f t="shared" si="42"/>
        <v>6</v>
      </c>
      <c r="B170" s="26">
        <f t="shared" si="50"/>
        <v>78448.275862068971</v>
      </c>
      <c r="C170" s="85">
        <f t="shared" si="43"/>
        <v>77878.943410525317</v>
      </c>
      <c r="D170" s="27">
        <f t="shared" si="44"/>
        <v>-7.2574246570399886E-3</v>
      </c>
      <c r="E170" s="27">
        <f t="shared" si="45"/>
        <v>7.2574246570399886E-3</v>
      </c>
      <c r="G170" s="97">
        <f t="shared" si="46"/>
        <v>79.999999999985775</v>
      </c>
      <c r="H170" s="157">
        <f t="shared" si="51"/>
        <v>1</v>
      </c>
      <c r="I170" s="157">
        <f t="shared" si="52"/>
        <v>1</v>
      </c>
      <c r="J170" s="158">
        <f t="shared" si="47"/>
        <v>60.141258271236104</v>
      </c>
      <c r="K170" s="164">
        <f t="shared" si="48"/>
        <v>7.4</v>
      </c>
      <c r="M170" s="18">
        <f t="shared" si="53"/>
        <v>710</v>
      </c>
      <c r="N170" s="18">
        <v>550</v>
      </c>
      <c r="O170" s="18">
        <v>79.999999999985775</v>
      </c>
      <c r="P170" s="18">
        <f t="shared" si="49"/>
        <v>79.999999999985775</v>
      </c>
      <c r="Y170" s="17">
        <f t="shared" si="54"/>
        <v>62</v>
      </c>
      <c r="Z170">
        <v>52.7</v>
      </c>
      <c r="AA170" s="17">
        <v>55.489106282014475</v>
      </c>
      <c r="AB170" s="17">
        <f t="shared" si="55"/>
        <v>55.489106282031344</v>
      </c>
      <c r="AW170" s="17"/>
      <c r="AY170" s="17"/>
      <c r="AZ170" s="17"/>
      <c r="CH170" s="17"/>
      <c r="CI170" s="17"/>
      <c r="CJ170" s="17"/>
      <c r="CK170" s="17"/>
      <c r="CL170" s="17"/>
      <c r="DL170">
        <v>4</v>
      </c>
      <c r="DM170">
        <v>-4049.5979646134947</v>
      </c>
      <c r="DN170">
        <f t="shared" si="58"/>
        <v>-1.1880445015834329</v>
      </c>
      <c r="DO170" s="76">
        <f t="shared" si="59"/>
        <v>0.11740793878527021</v>
      </c>
      <c r="DP170" s="76">
        <f t="shared" si="56"/>
        <v>0.12903225806451613</v>
      </c>
      <c r="DQ170" s="76">
        <f t="shared" si="57"/>
        <v>0.17470489847187515</v>
      </c>
    </row>
    <row r="171" spans="1:135">
      <c r="A171" s="25">
        <f t="shared" si="42"/>
        <v>7</v>
      </c>
      <c r="B171" s="26">
        <f t="shared" si="50"/>
        <v>91428.571428571435</v>
      </c>
      <c r="C171" s="85">
        <f t="shared" si="43"/>
        <v>92012.365028661108</v>
      </c>
      <c r="D171" s="27">
        <f t="shared" si="44"/>
        <v>6.3852425009808022E-3</v>
      </c>
      <c r="E171" s="27">
        <f t="shared" si="45"/>
        <v>6.3852425009808022E-3</v>
      </c>
      <c r="G171" s="97">
        <f t="shared" si="46"/>
        <v>79.999999999985775</v>
      </c>
      <c r="H171" s="157">
        <f t="shared" si="51"/>
        <v>2</v>
      </c>
      <c r="I171" s="157">
        <f t="shared" si="52"/>
        <v>1</v>
      </c>
      <c r="J171" s="158">
        <f t="shared" si="47"/>
        <v>55.489106282014475</v>
      </c>
      <c r="K171" s="164">
        <f t="shared" si="48"/>
        <v>7.399999999998613</v>
      </c>
      <c r="M171" s="18">
        <f t="shared" si="53"/>
        <v>710</v>
      </c>
      <c r="N171" s="18">
        <v>600</v>
      </c>
      <c r="O171" s="18">
        <v>79.999999999985775</v>
      </c>
      <c r="P171" s="18">
        <f t="shared" si="49"/>
        <v>79.999999999985775</v>
      </c>
      <c r="Y171" s="17">
        <f t="shared" si="54"/>
        <v>56</v>
      </c>
      <c r="Z171" s="17">
        <v>56</v>
      </c>
      <c r="AA171" s="17">
        <v>55.489106282031344</v>
      </c>
      <c r="AB171" s="17">
        <f t="shared" si="55"/>
        <v>60.141258271217978</v>
      </c>
      <c r="AW171" s="17"/>
      <c r="AY171" s="17"/>
      <c r="AZ171" s="17"/>
      <c r="CH171" s="17"/>
      <c r="CI171" s="17"/>
      <c r="CJ171" s="17"/>
      <c r="CK171" s="17"/>
      <c r="CL171" s="17"/>
      <c r="DL171">
        <v>5</v>
      </c>
      <c r="DM171">
        <v>-3318.9613727005199</v>
      </c>
      <c r="DN171">
        <f t="shared" si="58"/>
        <v>-1.0394807180178778</v>
      </c>
      <c r="DO171" s="76">
        <f t="shared" si="59"/>
        <v>0.14929061055316437</v>
      </c>
      <c r="DP171" s="76">
        <f t="shared" si="56"/>
        <v>0.16129032258064516</v>
      </c>
      <c r="DQ171" s="76">
        <f t="shared" si="57"/>
        <v>0.22156823561780803</v>
      </c>
    </row>
    <row r="172" spans="1:135">
      <c r="A172" s="25">
        <f t="shared" si="42"/>
        <v>8</v>
      </c>
      <c r="B172" s="26">
        <f t="shared" si="50"/>
        <v>86538.461538461532</v>
      </c>
      <c r="C172" s="85">
        <f t="shared" si="43"/>
        <v>86538.559056714526</v>
      </c>
      <c r="D172" s="27">
        <f t="shared" si="44"/>
        <v>1.1268775901601961E-6</v>
      </c>
      <c r="E172" s="27">
        <f t="shared" si="45"/>
        <v>1.1268775901601961E-6</v>
      </c>
      <c r="G172" s="97">
        <f t="shared" si="46"/>
        <v>79.999999999985775</v>
      </c>
      <c r="H172" s="157">
        <f t="shared" si="51"/>
        <v>1</v>
      </c>
      <c r="I172" s="157">
        <f t="shared" si="52"/>
        <v>1</v>
      </c>
      <c r="J172" s="158">
        <f t="shared" si="47"/>
        <v>54.531298692732555</v>
      </c>
      <c r="K172" s="164">
        <f t="shared" si="48"/>
        <v>7.399999999998613</v>
      </c>
      <c r="M172" s="18">
        <f t="shared" si="53"/>
        <v>490</v>
      </c>
      <c r="N172" s="18">
        <v>710</v>
      </c>
      <c r="O172" s="18">
        <v>79.999999999985775</v>
      </c>
      <c r="P172" s="18">
        <f t="shared" si="49"/>
        <v>79.999999999986187</v>
      </c>
      <c r="Y172" s="17">
        <f t="shared" si="54"/>
        <v>58</v>
      </c>
      <c r="Z172">
        <v>56.4</v>
      </c>
      <c r="AA172" s="17">
        <v>60.141258271217978</v>
      </c>
      <c r="AB172" s="17">
        <f t="shared" si="55"/>
        <v>60.141258271236104</v>
      </c>
      <c r="AW172" s="17"/>
      <c r="AX172" s="17"/>
      <c r="AY172" s="17"/>
      <c r="AZ172" s="17"/>
      <c r="CH172" s="17"/>
      <c r="CI172" s="17"/>
      <c r="CJ172" s="17"/>
      <c r="CK172" s="17"/>
      <c r="CL172" s="17"/>
      <c r="DL172">
        <v>6</v>
      </c>
      <c r="DM172">
        <v>-3101.791223617678</v>
      </c>
      <c r="DN172">
        <f t="shared" si="58"/>
        <v>-0.91090284858106574</v>
      </c>
      <c r="DO172" s="76">
        <f t="shared" si="59"/>
        <v>0.1811732823210585</v>
      </c>
      <c r="DP172" s="76">
        <f t="shared" si="56"/>
        <v>0.19354838709677419</v>
      </c>
      <c r="DQ172" s="76">
        <f t="shared" si="57"/>
        <v>0.23677147201073609</v>
      </c>
    </row>
    <row r="173" spans="1:135">
      <c r="A173" s="25">
        <f t="shared" si="42"/>
        <v>9</v>
      </c>
      <c r="B173" s="26">
        <f t="shared" si="50"/>
        <v>87301.587301587308</v>
      </c>
      <c r="C173" s="85">
        <f t="shared" si="43"/>
        <v>87301.593848579694</v>
      </c>
      <c r="D173" s="27">
        <f t="shared" si="44"/>
        <v>7.4992821882584721E-8</v>
      </c>
      <c r="E173" s="27">
        <f t="shared" si="45"/>
        <v>7.4992821882584721E-8</v>
      </c>
      <c r="G173" s="97">
        <f t="shared" si="46"/>
        <v>2863.7196741958428</v>
      </c>
      <c r="H173" s="157">
        <f t="shared" si="51"/>
        <v>2</v>
      </c>
      <c r="I173" s="157">
        <f t="shared" si="52"/>
        <v>2.2537536924287291</v>
      </c>
      <c r="J173" s="158">
        <f t="shared" si="47"/>
        <v>60.378888033491322</v>
      </c>
      <c r="K173" s="164">
        <f t="shared" si="48"/>
        <v>14.500657910079383</v>
      </c>
      <c r="M173" s="18">
        <f t="shared" si="53"/>
        <v>1700</v>
      </c>
      <c r="N173" s="18">
        <v>930</v>
      </c>
      <c r="O173" s="18">
        <v>79.999999999986187</v>
      </c>
      <c r="P173" s="18">
        <f t="shared" si="49"/>
        <v>586.07375116091612</v>
      </c>
      <c r="Y173" s="17">
        <f t="shared" si="54"/>
        <v>52.5</v>
      </c>
      <c r="Z173" s="17">
        <v>58</v>
      </c>
      <c r="AA173" s="17">
        <v>60.141258271236104</v>
      </c>
      <c r="AB173" s="17">
        <f t="shared" si="55"/>
        <v>60.378888033491322</v>
      </c>
      <c r="AW173" s="17"/>
      <c r="AX173" s="17"/>
      <c r="AY173" s="17"/>
      <c r="AZ173" s="17"/>
      <c r="CH173" s="17"/>
      <c r="CI173" s="17"/>
      <c r="CJ173" s="17"/>
      <c r="CK173" s="17"/>
      <c r="CL173" s="17"/>
      <c r="DL173">
        <v>7</v>
      </c>
      <c r="DM173">
        <v>-2989.5740582277795</v>
      </c>
      <c r="DN173">
        <f t="shared" si="58"/>
        <v>-0.79586258855065772</v>
      </c>
      <c r="DO173" s="76">
        <f t="shared" si="59"/>
        <v>0.21305595408895267</v>
      </c>
      <c r="DP173" s="76">
        <f t="shared" si="56"/>
        <v>0.22580645161290322</v>
      </c>
      <c r="DQ173" s="76">
        <f t="shared" si="57"/>
        <v>0.24484670983847234</v>
      </c>
    </row>
    <row r="174" spans="1:135">
      <c r="A174" s="25">
        <f t="shared" si="42"/>
        <v>10</v>
      </c>
      <c r="B174" s="26">
        <f t="shared" si="50"/>
        <v>90909.090909090897</v>
      </c>
      <c r="C174" s="85">
        <f t="shared" si="43"/>
        <v>90908.993124114117</v>
      </c>
      <c r="D174" s="27">
        <f t="shared" si="44"/>
        <v>-1.0756347445858412E-6</v>
      </c>
      <c r="E174" s="27">
        <f t="shared" si="45"/>
        <v>1.0756347445858412E-6</v>
      </c>
      <c r="G174" s="97">
        <f t="shared" si="46"/>
        <v>79.999999999985775</v>
      </c>
      <c r="H174" s="157">
        <f t="shared" si="51"/>
        <v>1</v>
      </c>
      <c r="I174" s="157">
        <f t="shared" si="52"/>
        <v>1</v>
      </c>
      <c r="J174" s="158">
        <f t="shared" si="47"/>
        <v>51.7</v>
      </c>
      <c r="K174" s="164">
        <f t="shared" si="48"/>
        <v>7.399999999998613</v>
      </c>
      <c r="M174" s="18">
        <f t="shared" si="53"/>
        <v>550</v>
      </c>
      <c r="N174" s="18">
        <v>1180</v>
      </c>
      <c r="O174" s="18">
        <v>586.07375116091612</v>
      </c>
      <c r="P174" s="18">
        <f t="shared" si="49"/>
        <v>1494.6249624069917</v>
      </c>
      <c r="Y174" s="17">
        <f t="shared" si="54"/>
        <v>52</v>
      </c>
      <c r="Z174" s="17">
        <v>59</v>
      </c>
      <c r="AA174" s="17">
        <v>60.378888033491322</v>
      </c>
      <c r="AB174" s="17">
        <f t="shared" si="55"/>
        <v>60.378888033491322</v>
      </c>
      <c r="AW174" s="17"/>
      <c r="AX174" s="17"/>
      <c r="AY174" s="17"/>
      <c r="AZ174" s="17"/>
      <c r="BT174" s="20"/>
      <c r="BU174" s="20"/>
      <c r="BV174" s="20"/>
      <c r="BW174" s="20"/>
      <c r="CH174" s="17"/>
      <c r="CI174" s="17"/>
      <c r="CJ174" s="17"/>
      <c r="CK174" s="17"/>
      <c r="CL174" s="17"/>
      <c r="DL174">
        <v>8</v>
      </c>
      <c r="DM174">
        <v>-2905.9033270497603</v>
      </c>
      <c r="DN174">
        <f t="shared" si="58"/>
        <v>-0.69050406942306464</v>
      </c>
      <c r="DO174" s="76">
        <f t="shared" si="59"/>
        <v>0.24493862585684681</v>
      </c>
      <c r="DP174" s="76">
        <f t="shared" si="56"/>
        <v>0.25806451612903225</v>
      </c>
      <c r="DQ174" s="76">
        <f t="shared" si="57"/>
        <v>0.25096285875261259</v>
      </c>
    </row>
    <row r="175" spans="1:135">
      <c r="A175" s="25">
        <f t="shared" si="42"/>
        <v>11</v>
      </c>
      <c r="B175" s="26">
        <f t="shared" si="50"/>
        <v>98214.28571428571</v>
      </c>
      <c r="C175" s="85">
        <f t="shared" si="43"/>
        <v>96113.587151685933</v>
      </c>
      <c r="D175" s="27">
        <f t="shared" si="44"/>
        <v>-2.1388930819197727E-2</v>
      </c>
      <c r="E175" s="27">
        <f t="shared" si="45"/>
        <v>2.1388930819197727E-2</v>
      </c>
      <c r="G175" s="97">
        <f t="shared" si="46"/>
        <v>79.999999999986187</v>
      </c>
      <c r="H175" s="157">
        <f t="shared" si="51"/>
        <v>2</v>
      </c>
      <c r="I175" s="157">
        <f t="shared" si="52"/>
        <v>1</v>
      </c>
      <c r="J175" s="158">
        <f t="shared" si="47"/>
        <v>55.489106282031344</v>
      </c>
      <c r="K175" s="164">
        <f t="shared" si="48"/>
        <v>10.803550153744604</v>
      </c>
      <c r="M175" s="18">
        <f t="shared" si="53"/>
        <v>930</v>
      </c>
      <c r="N175" s="18">
        <v>1200</v>
      </c>
      <c r="O175" s="18">
        <v>1494.6249624069917</v>
      </c>
      <c r="P175" s="18">
        <f t="shared" si="49"/>
        <v>1494.6249624069073</v>
      </c>
      <c r="Y175" s="17">
        <f t="shared" si="54"/>
        <v>63</v>
      </c>
      <c r="Z175" s="17">
        <v>60</v>
      </c>
      <c r="AA175" s="17">
        <v>60.378888033491322</v>
      </c>
      <c r="AB175" s="17">
        <f t="shared" si="55"/>
        <v>60.378888033491322</v>
      </c>
      <c r="AW175" s="17"/>
      <c r="AY175" s="17"/>
      <c r="AZ175" s="17"/>
      <c r="BT175" s="20"/>
      <c r="BU175" s="20"/>
      <c r="BV175" s="20"/>
      <c r="BW175" s="20"/>
      <c r="CH175" s="17"/>
      <c r="CI175" s="17"/>
      <c r="CJ175" s="17"/>
      <c r="CK175" s="17"/>
      <c r="CL175" s="17"/>
      <c r="DL175">
        <v>9</v>
      </c>
      <c r="DM175">
        <v>-2565.2682618576073</v>
      </c>
      <c r="DN175">
        <f t="shared" si="58"/>
        <v>-0.59231063557370334</v>
      </c>
      <c r="DO175" s="76">
        <f t="shared" si="59"/>
        <v>0.27682129762474095</v>
      </c>
      <c r="DP175" s="76">
        <f t="shared" si="56"/>
        <v>0.29032258064516131</v>
      </c>
      <c r="DQ175" s="76">
        <f t="shared" si="57"/>
        <v>0.27667329917912609</v>
      </c>
    </row>
    <row r="176" spans="1:135">
      <c r="A176" s="25">
        <f t="shared" si="42"/>
        <v>12</v>
      </c>
      <c r="B176" s="26">
        <f t="shared" si="50"/>
        <v>98305.08474576271</v>
      </c>
      <c r="C176" s="85">
        <f t="shared" si="43"/>
        <v>98319.53501504485</v>
      </c>
      <c r="D176" s="27">
        <f t="shared" si="44"/>
        <v>1.4699411855970663E-4</v>
      </c>
      <c r="E176" s="27">
        <f t="shared" si="45"/>
        <v>1.4699411855970663E-4</v>
      </c>
      <c r="G176" s="97">
        <f t="shared" si="46"/>
        <v>586.07375116091612</v>
      </c>
      <c r="H176" s="157">
        <f t="shared" si="51"/>
        <v>2</v>
      </c>
      <c r="I176" s="157">
        <f>VLOOKUP(Y208,$Z$197:$AA$200,2,0)</f>
        <v>3.5810132480699184</v>
      </c>
      <c r="J176" s="158">
        <f t="shared" si="47"/>
        <v>60.378888033491322</v>
      </c>
      <c r="K176" s="164">
        <f t="shared" si="48"/>
        <v>10.803550153744604</v>
      </c>
      <c r="M176" s="18">
        <f t="shared" si="53"/>
        <v>1180</v>
      </c>
      <c r="N176" s="18">
        <v>1500</v>
      </c>
      <c r="O176" s="18">
        <v>1494.6249624069073</v>
      </c>
      <c r="P176" s="18">
        <f t="shared" si="49"/>
        <v>2863.7196741958428</v>
      </c>
      <c r="Y176" s="17">
        <f t="shared" si="54"/>
        <v>51.7</v>
      </c>
      <c r="Z176" s="17">
        <v>62</v>
      </c>
      <c r="AA176" s="17">
        <v>60.378888033491322</v>
      </c>
      <c r="AB176" s="17">
        <f t="shared" si="55"/>
        <v>60.378888033491322</v>
      </c>
      <c r="AW176" s="17"/>
      <c r="AX176" s="17"/>
      <c r="AY176" s="17"/>
      <c r="AZ176" s="17"/>
      <c r="BT176" s="20"/>
      <c r="BU176" s="20"/>
      <c r="BV176" s="20"/>
      <c r="BW176" s="20"/>
      <c r="CH176" s="17"/>
      <c r="CI176" s="17"/>
      <c r="CJ176" s="17"/>
      <c r="CK176" s="17"/>
      <c r="CL176" s="17"/>
      <c r="DL176">
        <v>10</v>
      </c>
      <c r="DM176">
        <v>-2427.9607221042534</v>
      </c>
      <c r="DN176">
        <f t="shared" si="58"/>
        <v>-0.49952732917944725</v>
      </c>
      <c r="DO176" s="76">
        <f t="shared" si="59"/>
        <v>0.30870396939263511</v>
      </c>
      <c r="DP176" s="76">
        <f t="shared" si="56"/>
        <v>0.32258064516129031</v>
      </c>
      <c r="DQ176" s="76">
        <f t="shared" si="57"/>
        <v>0.28739012829651844</v>
      </c>
    </row>
    <row r="177" spans="1:134">
      <c r="A177" s="25">
        <f t="shared" si="42"/>
        <v>13</v>
      </c>
      <c r="B177" s="26">
        <f t="shared" si="50"/>
        <v>88652.482269503555</v>
      </c>
      <c r="C177" s="85">
        <f t="shared" si="43"/>
        <v>88932.457307473291</v>
      </c>
      <c r="D177" s="34">
        <f t="shared" si="44"/>
        <v>3.1581184282986233E-3</v>
      </c>
      <c r="E177" s="34">
        <f t="shared" si="45"/>
        <v>3.1581184282986233E-3</v>
      </c>
      <c r="G177" s="97">
        <f t="shared" si="46"/>
        <v>79.999999999985775</v>
      </c>
      <c r="H177" s="157">
        <f t="shared" si="51"/>
        <v>2</v>
      </c>
      <c r="I177" s="157">
        <f>VLOOKUP(Y209,$Z$197:$AA$200,2,0)</f>
        <v>1</v>
      </c>
      <c r="J177" s="158">
        <f t="shared" si="47"/>
        <v>60.141258271217978</v>
      </c>
      <c r="K177" s="164">
        <f t="shared" si="48"/>
        <v>10.803550153744604</v>
      </c>
      <c r="M177" s="18">
        <f t="shared" si="53"/>
        <v>380</v>
      </c>
      <c r="N177" s="18">
        <v>1700</v>
      </c>
      <c r="O177" s="18">
        <v>2863.7196741958428</v>
      </c>
      <c r="S177" s="18"/>
      <c r="Y177" s="17">
        <f t="shared" si="54"/>
        <v>56</v>
      </c>
      <c r="Z177" s="17">
        <v>63</v>
      </c>
      <c r="AA177" s="17">
        <v>60.378888033491322</v>
      </c>
      <c r="AB177" s="17">
        <f t="shared" si="55"/>
        <v>60.378888033496501</v>
      </c>
      <c r="AW177" s="17"/>
      <c r="AZ177" s="17"/>
      <c r="BD177" s="17"/>
      <c r="BT177" s="20"/>
      <c r="BU177" s="20"/>
      <c r="BV177" s="20"/>
      <c r="BW177" s="20"/>
      <c r="CH177" s="17"/>
      <c r="CI177" s="17"/>
      <c r="CJ177" s="17"/>
      <c r="CK177" s="17"/>
      <c r="CL177" s="17"/>
      <c r="DL177">
        <v>13</v>
      </c>
      <c r="DM177">
        <v>-1538.6509456007916</v>
      </c>
      <c r="DN177">
        <f t="shared" si="58"/>
        <v>-0.2420983336051879</v>
      </c>
      <c r="DO177" s="76">
        <f t="shared" si="59"/>
        <v>0.40435198469631756</v>
      </c>
      <c r="DP177" s="76">
        <f t="shared" si="56"/>
        <v>0.41935483870967744</v>
      </c>
      <c r="DQ177" s="76">
        <f t="shared" si="57"/>
        <v>0.36109485133134772</v>
      </c>
    </row>
    <row r="178" spans="1:134">
      <c r="A178" s="25">
        <f t="shared" si="42"/>
        <v>14</v>
      </c>
      <c r="B178" s="33">
        <f t="shared" si="50"/>
        <v>81333.333333333328</v>
      </c>
      <c r="C178" s="108">
        <f t="shared" si="43"/>
        <v>81613.356757427304</v>
      </c>
      <c r="D178" s="34">
        <f t="shared" si="44"/>
        <v>3.4429109519751068E-3</v>
      </c>
      <c r="E178" s="34">
        <f t="shared" si="45"/>
        <v>3.4429109519751068E-3</v>
      </c>
      <c r="G178" s="102">
        <f t="shared" si="46"/>
        <v>80</v>
      </c>
      <c r="H178" s="159">
        <f t="shared" si="51"/>
        <v>1</v>
      </c>
      <c r="I178" s="159">
        <f>VLOOKUP(Y210,$Z$197:$AA$200,2,0)</f>
        <v>1</v>
      </c>
      <c r="J178" s="160">
        <f t="shared" si="47"/>
        <v>60.378888033491322</v>
      </c>
      <c r="K178" s="165">
        <f t="shared" si="48"/>
        <v>10.803550153744604</v>
      </c>
      <c r="M178" s="18">
        <f t="shared" si="53"/>
        <v>80</v>
      </c>
      <c r="O178" s="3"/>
      <c r="P178" s="18"/>
      <c r="Q178" s="18"/>
      <c r="R178" s="18"/>
      <c r="S178" s="18"/>
      <c r="Y178" s="17">
        <f t="shared" si="54"/>
        <v>59</v>
      </c>
      <c r="Z178" s="17">
        <v>65</v>
      </c>
      <c r="AA178" s="17">
        <v>60.378888033496501</v>
      </c>
      <c r="AB178" s="17"/>
      <c r="BD178" s="17"/>
      <c r="BT178" s="20"/>
      <c r="BU178" s="20"/>
      <c r="BV178" s="20"/>
      <c r="BW178" s="20"/>
      <c r="CH178" s="17"/>
      <c r="CI178" s="17"/>
      <c r="CJ178" s="17"/>
      <c r="CK178" s="17"/>
      <c r="CL178" s="17"/>
      <c r="DL178">
        <v>14</v>
      </c>
      <c r="DM178">
        <v>-1389.0168832228665</v>
      </c>
      <c r="DN178">
        <f t="shared" si="58"/>
        <v>-0.16052273623282101</v>
      </c>
      <c r="DO178" s="76">
        <f t="shared" si="59"/>
        <v>0.43623465646421172</v>
      </c>
      <c r="DP178" s="76">
        <f t="shared" si="56"/>
        <v>0.45161290322580644</v>
      </c>
      <c r="DQ178" s="76">
        <f t="shared" si="57"/>
        <v>0.37412106848325755</v>
      </c>
    </row>
    <row r="179" spans="1:134">
      <c r="A179" s="84"/>
      <c r="D179" s="78" t="s">
        <v>56</v>
      </c>
      <c r="E179" s="110">
        <f>AVERAGE(E165:E178)</f>
        <v>4.6129237960404962E-3</v>
      </c>
      <c r="M179" s="22"/>
      <c r="N179" s="3"/>
      <c r="O179" s="3"/>
      <c r="P179" s="18"/>
      <c r="R179" s="18"/>
      <c r="S179" s="18"/>
      <c r="Y179" s="17">
        <f t="shared" si="54"/>
        <v>56.4</v>
      </c>
      <c r="AA179" s="17"/>
      <c r="AB179" s="17"/>
      <c r="AI179" s="17"/>
      <c r="AJ179" s="17"/>
      <c r="BD179" s="17"/>
      <c r="BR179" s="20"/>
      <c r="BS179" s="20"/>
      <c r="BT179" s="20"/>
      <c r="BU179" s="20"/>
      <c r="CF179" s="17"/>
      <c r="CG179" s="17"/>
      <c r="CH179" s="17"/>
      <c r="CI179" s="17"/>
      <c r="CJ179" s="17"/>
      <c r="DJ179">
        <v>15</v>
      </c>
      <c r="DK179">
        <v>-1373.9175670646218</v>
      </c>
      <c r="DL179">
        <f t="shared" si="58"/>
        <v>-8.0003268442618569E-2</v>
      </c>
      <c r="DM179" s="76">
        <f t="shared" si="59"/>
        <v>0.46811732823210583</v>
      </c>
      <c r="DN179" s="76">
        <f t="shared" si="56"/>
        <v>0.4838709677419355</v>
      </c>
      <c r="DO179" s="76">
        <f>NORMDIST(DK179,0,$DM$191,1)</f>
        <v>0.37544382907994667</v>
      </c>
    </row>
    <row r="180" spans="1:134">
      <c r="A180" s="25"/>
      <c r="B180" s="95" t="s">
        <v>89</v>
      </c>
      <c r="D180" s="79" t="s">
        <v>57</v>
      </c>
      <c r="E180" s="37">
        <f>MAX(E165:E178)</f>
        <v>2.1388930819197727E-2</v>
      </c>
      <c r="M180" s="22"/>
      <c r="N180" s="3"/>
      <c r="O180" s="3"/>
      <c r="P180" s="18"/>
      <c r="R180" s="18"/>
      <c r="S180" s="18"/>
      <c r="Y180" s="17">
        <f t="shared" si="54"/>
        <v>60</v>
      </c>
      <c r="AE180" s="80"/>
      <c r="AI180" s="17"/>
      <c r="AJ180" s="17"/>
      <c r="BR180" s="20"/>
      <c r="BT180" s="19"/>
      <c r="BU180" s="20"/>
      <c r="CF180" s="17"/>
      <c r="CG180" s="17"/>
      <c r="CH180" s="17"/>
      <c r="CI180" s="17"/>
      <c r="CJ180" s="17"/>
      <c r="DJ180">
        <v>16</v>
      </c>
      <c r="DK180">
        <v>-973.62832894305757</v>
      </c>
      <c r="DL180">
        <f t="shared" si="58"/>
        <v>0</v>
      </c>
      <c r="DM180" s="76">
        <f t="shared" si="59"/>
        <v>0.5</v>
      </c>
      <c r="DN180" s="76">
        <f t="shared" si="56"/>
        <v>0.5161290322580645</v>
      </c>
      <c r="DO180" s="76">
        <f>NORMDIST(DK180,0,$DM$191,1)</f>
        <v>0.41099940793974843</v>
      </c>
    </row>
    <row r="181" spans="1:134">
      <c r="B181" s="96">
        <f>TREND($B$165:$B$178,$G$165:$K$178,G181:K181,1)</f>
        <v>99284.425524850885</v>
      </c>
      <c r="G181" s="102">
        <f>TREND(O172:O173,N172:N173,E45,1)</f>
        <v>79.999999999986002</v>
      </c>
      <c r="H181" s="159">
        <f>F45</f>
        <v>2</v>
      </c>
      <c r="I181" s="159">
        <f>AA199</f>
        <v>3.5810132480699184</v>
      </c>
      <c r="J181" s="160">
        <f>TREND(AA173:AA174,Z173:Z174,H45,1)</f>
        <v>60.307599104814756</v>
      </c>
      <c r="K181" s="165">
        <f>TREND(AM203:AM204,AL203:AL204,J45,1)</f>
        <v>9.7824851076208041</v>
      </c>
      <c r="M181" s="22"/>
      <c r="N181" s="3"/>
      <c r="O181" s="3"/>
      <c r="P181" s="18"/>
      <c r="Q181" s="18"/>
      <c r="R181" s="18"/>
      <c r="S181" s="18"/>
      <c r="AU181" s="17"/>
      <c r="AV181" s="17"/>
      <c r="BR181" s="20"/>
      <c r="BT181" s="19"/>
      <c r="BU181" s="20"/>
      <c r="CF181" s="17"/>
      <c r="CG181" s="17"/>
      <c r="CH181" s="17"/>
      <c r="CI181" s="17"/>
      <c r="CJ181" s="17"/>
      <c r="DJ181">
        <v>17</v>
      </c>
      <c r="DK181">
        <v>-120.19568723639532</v>
      </c>
      <c r="DL181">
        <f t="shared" si="58"/>
        <v>8.0003268442618569E-2</v>
      </c>
      <c r="DM181" s="76">
        <f t="shared" si="59"/>
        <v>0.53188267176789417</v>
      </c>
      <c r="DN181" s="76">
        <f t="shared" si="56"/>
        <v>0.54838709677419351</v>
      </c>
      <c r="DO181" s="76">
        <f>NORMDIST(DK181,0,$DM$191,1)</f>
        <v>0.4889214238212109</v>
      </c>
    </row>
    <row r="182" spans="1:134">
      <c r="B182" s="109"/>
      <c r="M182" s="22"/>
      <c r="N182" s="3"/>
      <c r="O182" s="3"/>
      <c r="P182" s="18"/>
      <c r="Q182" s="18"/>
      <c r="R182" s="18"/>
      <c r="S182" s="18"/>
      <c r="AT182" s="17"/>
      <c r="AU182" s="17"/>
      <c r="AV182" s="17"/>
      <c r="AW182" s="17"/>
      <c r="AX182" s="17"/>
      <c r="AY182" s="17"/>
      <c r="BR182" s="20"/>
      <c r="BT182" s="19"/>
      <c r="BU182" s="20"/>
      <c r="CF182" s="17"/>
      <c r="CG182" s="17"/>
      <c r="CH182" s="17"/>
      <c r="CI182" s="17"/>
      <c r="CJ182" s="17"/>
      <c r="DJ182">
        <v>18</v>
      </c>
      <c r="DK182">
        <v>-116.93351465983142</v>
      </c>
      <c r="DL182">
        <f t="shared" si="58"/>
        <v>0.16052273623282115</v>
      </c>
      <c r="DM182" s="76">
        <f t="shared" si="59"/>
        <v>0.56376534353578833</v>
      </c>
      <c r="DN182" s="76">
        <f t="shared" si="56"/>
        <v>0.58064516129032262</v>
      </c>
      <c r="DO182" s="76">
        <f>NORMDIST(DK182,0,$DM$191,1)</f>
        <v>0.48922202787402719</v>
      </c>
    </row>
    <row r="183" spans="1:134">
      <c r="M183" s="22"/>
      <c r="N183" s="3"/>
      <c r="O183" s="3"/>
      <c r="P183" s="18"/>
      <c r="R183" s="18"/>
      <c r="S183" s="18"/>
      <c r="AS183" s="17"/>
      <c r="AT183" s="17"/>
      <c r="AU183" s="17"/>
      <c r="AV183" s="17"/>
      <c r="AW183" s="17"/>
      <c r="AX183" s="17"/>
      <c r="AY183" s="17"/>
      <c r="BR183" s="20"/>
      <c r="BT183" s="19"/>
      <c r="BU183" s="20"/>
      <c r="CF183" s="17"/>
      <c r="CG183" s="17"/>
      <c r="CH183" s="17"/>
      <c r="CI183" s="17"/>
      <c r="CJ183" s="17"/>
      <c r="DJ183">
        <v>19</v>
      </c>
      <c r="DK183">
        <v>804.65476484580722</v>
      </c>
      <c r="DL183">
        <f t="shared" si="58"/>
        <v>0.24209833360518801</v>
      </c>
      <c r="DM183" s="76">
        <f t="shared" si="59"/>
        <v>0.5956480153036825</v>
      </c>
      <c r="DN183" s="76">
        <f t="shared" si="56"/>
        <v>0.61290322580645162</v>
      </c>
      <c r="DO183" s="76">
        <f>NORMDIST(DK183,0,$DM$191,1)</f>
        <v>0.57375033090338134</v>
      </c>
    </row>
    <row r="184" spans="1:134">
      <c r="N184" s="3"/>
      <c r="O184" s="3"/>
      <c r="Q184" s="18"/>
      <c r="S184" s="18"/>
      <c r="AS184" s="17"/>
      <c r="AX184" s="17"/>
      <c r="AY184" s="17"/>
      <c r="BT184" s="20"/>
      <c r="BV184" s="19"/>
      <c r="BW184" s="20"/>
      <c r="BY184" s="17"/>
      <c r="BZ184" s="17"/>
      <c r="CA184" s="17"/>
      <c r="CB184" s="17"/>
      <c r="CH184" s="17"/>
      <c r="CI184" s="17"/>
      <c r="CK184" s="17"/>
      <c r="CL184" s="17"/>
      <c r="CM184" s="77"/>
      <c r="DL184">
        <v>26</v>
      </c>
      <c r="DM184">
        <v>3123.4159014630422</v>
      </c>
      <c r="DN184">
        <f t="shared" si="58"/>
        <v>0.91090284858106596</v>
      </c>
      <c r="DO184" s="76">
        <f t="shared" si="59"/>
        <v>0.81882671767894155</v>
      </c>
      <c r="DP184" s="76">
        <f t="shared" si="56"/>
        <v>0.83870967741935487</v>
      </c>
      <c r="DQ184" s="76">
        <f t="shared" ref="DQ184:DQ189" si="60">NORMDIST(DM184,0,$DM$191,1)</f>
        <v>0.76476765148794723</v>
      </c>
    </row>
    <row r="185" spans="1:134">
      <c r="A185" s="25"/>
      <c r="B185" s="111"/>
      <c r="C185" s="24" t="s">
        <v>91</v>
      </c>
      <c r="E185" s="38"/>
      <c r="G185" s="24"/>
      <c r="H185" s="39" t="s">
        <v>58</v>
      </c>
      <c r="I185" s="24"/>
      <c r="J185" s="24"/>
      <c r="L185" s="20"/>
      <c r="M185" s="17"/>
      <c r="N185" s="3"/>
      <c r="O185" s="3"/>
      <c r="Q185" s="18"/>
      <c r="S185" s="18"/>
      <c r="AS185" s="17"/>
      <c r="AX185" s="17"/>
      <c r="AY185" s="17"/>
      <c r="BT185" s="20"/>
      <c r="BV185" s="19"/>
      <c r="BW185" s="20"/>
      <c r="BY185" s="17"/>
      <c r="BZ185" s="17"/>
      <c r="CA185" s="17"/>
      <c r="CB185" s="17"/>
      <c r="CH185" s="17"/>
      <c r="CI185" s="17"/>
      <c r="CK185" s="17"/>
      <c r="CL185" s="17"/>
      <c r="CM185" s="77"/>
      <c r="DL185">
        <v>27</v>
      </c>
      <c r="DM185">
        <v>3791.5663030867436</v>
      </c>
      <c r="DN185">
        <f t="shared" si="58"/>
        <v>1.0394807180178769</v>
      </c>
      <c r="DO185" s="76">
        <f t="shared" si="59"/>
        <v>0.85070938944683572</v>
      </c>
      <c r="DP185" s="76">
        <f t="shared" si="56"/>
        <v>0.87096774193548387</v>
      </c>
      <c r="DQ185" s="76">
        <f t="shared" si="60"/>
        <v>0.80951534503328948</v>
      </c>
    </row>
    <row r="186" spans="1:134">
      <c r="C186" s="23"/>
      <c r="E186" s="24"/>
      <c r="F186" s="24"/>
      <c r="G186" s="24"/>
      <c r="I186" s="35"/>
      <c r="J186" s="3"/>
      <c r="M186" s="17"/>
      <c r="N186" s="3"/>
      <c r="O186" s="3"/>
      <c r="Q186" s="18"/>
      <c r="S186" s="18"/>
      <c r="AS186" s="17"/>
      <c r="AX186" s="17"/>
      <c r="AY186" s="17"/>
      <c r="BT186" s="20"/>
      <c r="BV186" s="19"/>
      <c r="BW186" s="20"/>
      <c r="BY186" s="17"/>
      <c r="BZ186" s="17"/>
      <c r="CA186" s="17"/>
      <c r="CB186" s="17"/>
      <c r="CH186" s="17"/>
      <c r="CI186" s="17"/>
      <c r="CK186" s="17"/>
      <c r="CL186" s="17"/>
      <c r="CM186" s="77"/>
      <c r="DL186">
        <v>28</v>
      </c>
      <c r="DM186">
        <v>4139.091141148936</v>
      </c>
      <c r="DN186">
        <f t="shared" si="58"/>
        <v>1.188044501583434</v>
      </c>
      <c r="DO186" s="76">
        <f t="shared" si="59"/>
        <v>0.88259206121472988</v>
      </c>
      <c r="DP186" s="76">
        <f t="shared" si="56"/>
        <v>0.90322580645161288</v>
      </c>
      <c r="DQ186" s="76">
        <f t="shared" si="60"/>
        <v>0.83056838314051817</v>
      </c>
    </row>
    <row r="187" spans="1:134">
      <c r="B187" s="23" t="s">
        <v>110</v>
      </c>
      <c r="D187" s="40" t="s">
        <v>8</v>
      </c>
      <c r="E187" s="40" t="s">
        <v>6</v>
      </c>
      <c r="F187" s="40" t="s">
        <v>5</v>
      </c>
      <c r="G187" s="40" t="s">
        <v>2</v>
      </c>
      <c r="H187" s="40" t="s">
        <v>54</v>
      </c>
      <c r="J187" s="29"/>
      <c r="K187" s="32"/>
      <c r="N187" s="3"/>
      <c r="O187" s="3"/>
      <c r="Q187" s="18"/>
      <c r="S187" s="18"/>
      <c r="AS187" s="17"/>
      <c r="AX187" s="17"/>
      <c r="AY187" s="17"/>
      <c r="BT187" s="20"/>
      <c r="BV187" s="19"/>
      <c r="BW187" s="20"/>
      <c r="BY187" s="17"/>
      <c r="BZ187" s="17"/>
      <c r="CA187" s="17"/>
      <c r="CB187" s="17"/>
      <c r="CH187" s="17"/>
      <c r="CI187" s="17"/>
      <c r="CK187" s="17"/>
      <c r="CL187" s="17"/>
      <c r="CM187" s="77"/>
      <c r="DL187">
        <v>29</v>
      </c>
      <c r="DM187">
        <v>5763.0334429157083</v>
      </c>
      <c r="DN187">
        <f t="shared" si="58"/>
        <v>1.3688360349541264</v>
      </c>
      <c r="DO187" s="76">
        <f t="shared" si="59"/>
        <v>0.91447473298262405</v>
      </c>
      <c r="DP187" s="76">
        <f t="shared" si="56"/>
        <v>0.93548387096774188</v>
      </c>
      <c r="DQ187" s="76">
        <f t="shared" si="60"/>
        <v>0.90851333140324841</v>
      </c>
      <c r="EC187" s="105"/>
      <c r="ED187" s="105"/>
    </row>
    <row r="188" spans="1:134">
      <c r="B188" s="41" t="s">
        <v>59</v>
      </c>
      <c r="D188" s="41" t="s">
        <v>60</v>
      </c>
      <c r="E188" s="41" t="s">
        <v>61</v>
      </c>
      <c r="F188" s="41" t="s">
        <v>62</v>
      </c>
      <c r="G188" s="41" t="s">
        <v>63</v>
      </c>
      <c r="H188" s="41" t="s">
        <v>64</v>
      </c>
      <c r="I188" s="156" t="s">
        <v>65</v>
      </c>
      <c r="K188" s="32"/>
      <c r="S188" s="18"/>
      <c r="AS188" s="17"/>
      <c r="AX188" s="17"/>
      <c r="AY188" s="17"/>
      <c r="BT188" s="20"/>
      <c r="BV188" s="19"/>
      <c r="BW188" s="20"/>
      <c r="BY188" s="17"/>
      <c r="BZ188" s="17"/>
      <c r="CA188" s="17"/>
      <c r="CB188" s="17"/>
      <c r="CH188" s="17"/>
      <c r="CI188" s="17"/>
      <c r="CK188" s="17"/>
      <c r="CL188" s="17"/>
      <c r="CM188" s="77"/>
      <c r="DL188">
        <v>30</v>
      </c>
      <c r="DM188">
        <v>6999.5308323502395</v>
      </c>
      <c r="DN188">
        <f t="shared" si="58"/>
        <v>1.6105162973596794</v>
      </c>
      <c r="DO188" s="76">
        <f t="shared" si="59"/>
        <v>0.94635740475051822</v>
      </c>
      <c r="DP188" s="76">
        <f t="shared" si="56"/>
        <v>0.967741935483871</v>
      </c>
      <c r="DQ188" s="76">
        <f t="shared" si="60"/>
        <v>0.94710093212871649</v>
      </c>
      <c r="EC188" s="17"/>
      <c r="ED188" s="18"/>
    </row>
    <row r="189" spans="1:134">
      <c r="C189" s="32"/>
      <c r="D189" s="71">
        <f t="array" ref="D189:I193">LINEST(B165:B178,G165:K178,1,1)</f>
        <v>1204.9836017656462</v>
      </c>
      <c r="E189" s="49">
        <v>-1543.6146241361705</v>
      </c>
      <c r="F189" s="49">
        <v>4586.9973765059676</v>
      </c>
      <c r="G189" s="49">
        <v>6952.2917738707874</v>
      </c>
      <c r="H189" s="49">
        <v>-4.1203767417173776</v>
      </c>
      <c r="I189" s="49">
        <v>150587.33152785059</v>
      </c>
      <c r="J189" s="167"/>
      <c r="K189" s="32"/>
      <c r="S189" s="18"/>
      <c r="AS189" s="17"/>
      <c r="AX189" s="17"/>
      <c r="AY189" s="17"/>
      <c r="BT189" s="20"/>
      <c r="BV189" s="19"/>
      <c r="BW189" s="20"/>
      <c r="BY189" s="17"/>
      <c r="BZ189" s="17"/>
      <c r="CA189" s="17"/>
      <c r="CB189" s="17"/>
      <c r="CH189" s="17"/>
      <c r="CI189" s="17"/>
      <c r="CK189" s="17"/>
      <c r="CL189" s="17"/>
      <c r="CM189" s="77"/>
      <c r="DL189">
        <v>31</v>
      </c>
      <c r="DM189">
        <v>11378.603930692829</v>
      </c>
      <c r="DN189">
        <f>NORMSINV(0.5^(1/31))</f>
        <v>2.0119716331356474</v>
      </c>
      <c r="DO189" s="76">
        <f>0.5^(1/31)</f>
        <v>0.97788853633543271</v>
      </c>
      <c r="DP189" s="76">
        <f t="shared" si="56"/>
        <v>1</v>
      </c>
      <c r="DQ189" s="76">
        <f t="shared" si="60"/>
        <v>0.99572117071619781</v>
      </c>
      <c r="EC189" s="17"/>
      <c r="ED189" s="18"/>
    </row>
    <row r="190" spans="1:134">
      <c r="C190" s="32"/>
      <c r="D190" s="44">
        <v>160.03241901893307</v>
      </c>
      <c r="E190" s="45">
        <v>111.72003865350243</v>
      </c>
      <c r="F190" s="45">
        <v>307.28711473138605</v>
      </c>
      <c r="G190" s="45">
        <v>601.93433381998864</v>
      </c>
      <c r="H190" s="45">
        <v>0.3920908921476311</v>
      </c>
      <c r="I190" s="45">
        <v>6006.3866188821394</v>
      </c>
      <c r="J190" s="167"/>
      <c r="K190" s="32"/>
      <c r="S190" s="18"/>
      <c r="AS190" s="17"/>
      <c r="AX190" s="17"/>
      <c r="AY190" s="17"/>
      <c r="BI190" s="17"/>
      <c r="BJ190" s="17"/>
      <c r="BK190" s="20"/>
      <c r="BT190" s="20"/>
      <c r="BV190" s="19"/>
      <c r="BW190" s="20"/>
      <c r="BY190" s="17"/>
      <c r="BZ190" s="17"/>
      <c r="CA190" s="17"/>
      <c r="CB190" s="17"/>
      <c r="CH190" s="17"/>
      <c r="CI190" s="17"/>
      <c r="CK190" s="17"/>
      <c r="CL190" s="17"/>
      <c r="CM190" s="77"/>
      <c r="EC190" s="17"/>
      <c r="ED190" s="18"/>
    </row>
    <row r="191" spans="1:134">
      <c r="C191" s="56" t="s">
        <v>66</v>
      </c>
      <c r="D191" s="46">
        <v>0.9910000655827953</v>
      </c>
      <c r="E191" s="45">
        <v>936.33129462932061</v>
      </c>
      <c r="F191" s="47" t="e">
        <v>#N/A</v>
      </c>
      <c r="G191" s="48" t="e">
        <v>#N/A</v>
      </c>
      <c r="H191" s="48" t="e">
        <v>#N/A</v>
      </c>
      <c r="I191" s="48" t="e">
        <v>#N/A</v>
      </c>
      <c r="J191" s="167"/>
      <c r="K191" s="32"/>
      <c r="S191" s="18"/>
      <c r="AX191" s="17"/>
      <c r="AY191" s="17"/>
      <c r="BI191" s="17"/>
      <c r="BJ191" s="17"/>
      <c r="BK191" s="20"/>
      <c r="BT191" s="20"/>
      <c r="BV191" s="19"/>
      <c r="BY191" s="17"/>
      <c r="BZ191" s="17"/>
      <c r="CA191" s="17"/>
      <c r="CB191" s="17"/>
      <c r="CH191" s="17"/>
      <c r="CI191" s="17"/>
      <c r="CK191" s="17"/>
      <c r="CL191" s="17"/>
      <c r="CM191" s="77"/>
      <c r="DM191">
        <f>STDEV(DM167:DM189)</f>
        <v>4327.7201752640249</v>
      </c>
      <c r="EC191" s="17"/>
      <c r="ED191" s="18"/>
    </row>
    <row r="192" spans="1:134">
      <c r="C192" s="32"/>
      <c r="D192" s="50">
        <v>176.17907324984279</v>
      </c>
      <c r="E192" s="51">
        <v>8</v>
      </c>
      <c r="F192" s="52" t="e">
        <v>#N/A</v>
      </c>
      <c r="G192" s="51" t="e">
        <v>#N/A</v>
      </c>
      <c r="H192" s="51" t="e">
        <v>#N/A</v>
      </c>
      <c r="I192" s="51" t="e">
        <v>#N/A</v>
      </c>
      <c r="J192" s="167"/>
      <c r="K192" s="32"/>
      <c r="S192" s="18"/>
      <c r="AX192" s="17"/>
      <c r="AY192" s="17"/>
      <c r="BI192" s="17"/>
      <c r="BJ192" s="17"/>
      <c r="BK192" s="20"/>
      <c r="BS192" s="17"/>
      <c r="BT192" s="17"/>
      <c r="BU192" s="17"/>
      <c r="BY192" s="17"/>
      <c r="BZ192" s="17"/>
      <c r="CA192" s="17"/>
      <c r="CB192" s="17"/>
      <c r="CH192" s="17"/>
      <c r="CI192" s="17"/>
      <c r="CK192" s="17"/>
      <c r="CL192" s="17"/>
      <c r="CM192" s="77"/>
      <c r="EC192" s="17"/>
      <c r="ED192" s="18"/>
    </row>
    <row r="193" spans="2:134" ht="29">
      <c r="C193" s="32"/>
      <c r="D193" s="53">
        <v>772295320.28511202</v>
      </c>
      <c r="E193" s="54">
        <v>7013730.3464177568</v>
      </c>
      <c r="F193" s="53" t="e">
        <v>#N/A</v>
      </c>
      <c r="G193" s="55" t="e">
        <v>#N/A</v>
      </c>
      <c r="H193" s="55" t="e">
        <v>#N/A</v>
      </c>
      <c r="I193" s="55" t="e">
        <v>#N/A</v>
      </c>
      <c r="J193" s="167"/>
      <c r="K193" s="3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X193" s="17"/>
      <c r="AY193" s="17"/>
      <c r="BI193" s="17"/>
      <c r="BJ193" s="17"/>
      <c r="BK193" s="20"/>
      <c r="BS193" s="17"/>
      <c r="BT193" s="17"/>
      <c r="BU193" s="17"/>
      <c r="BY193" s="17"/>
      <c r="BZ193" s="17"/>
      <c r="CA193" s="17"/>
      <c r="CB193" s="17"/>
      <c r="CH193" s="17"/>
      <c r="CI193" s="17"/>
      <c r="CK193" s="17"/>
      <c r="CL193" s="17"/>
      <c r="CM193" s="77"/>
      <c r="EC193" s="17"/>
      <c r="ED193" s="18"/>
    </row>
    <row r="194" spans="2:134">
      <c r="C194" s="32"/>
      <c r="K194" s="32"/>
      <c r="Y194" s="184" t="s">
        <v>5</v>
      </c>
      <c r="Z194" s="184"/>
      <c r="AA194" s="184"/>
      <c r="AK194" s="184" t="s">
        <v>8</v>
      </c>
      <c r="AL194" s="184"/>
      <c r="AM194" s="184"/>
      <c r="AX194" s="17"/>
      <c r="AY194" s="17"/>
      <c r="BI194" s="17"/>
      <c r="BJ194" s="17"/>
      <c r="BK194" s="20"/>
      <c r="BS194" s="17"/>
      <c r="BT194" s="17"/>
      <c r="BU194" s="17"/>
      <c r="BY194" s="17"/>
      <c r="BZ194" s="17"/>
      <c r="CA194" s="17"/>
      <c r="CB194" s="17"/>
      <c r="CH194" s="17"/>
      <c r="CI194" s="17"/>
      <c r="CK194" s="17"/>
      <c r="CL194" s="17"/>
      <c r="CM194" s="77"/>
      <c r="EC194" s="17"/>
      <c r="ED194" s="18"/>
    </row>
    <row r="195" spans="2:134">
      <c r="C195" s="56" t="s">
        <v>68</v>
      </c>
      <c r="D195" s="58">
        <f>ABS(D189/D190)</f>
        <v>7.5296218675735158</v>
      </c>
      <c r="E195" s="58">
        <f>ABS(E189/E190)</f>
        <v>13.816810688041935</v>
      </c>
      <c r="F195" s="58">
        <f>ABS(F189/F190)</f>
        <v>14.927399023924824</v>
      </c>
      <c r="G195" s="58">
        <f>ABS(G189/G190)</f>
        <v>11.549917297041747</v>
      </c>
      <c r="H195" s="58">
        <f>ABS(H189/H190)</f>
        <v>10.508728522482389</v>
      </c>
      <c r="I195" s="58"/>
      <c r="J195" s="58"/>
      <c r="K195" s="32"/>
      <c r="Y195" s="182" t="s">
        <v>77</v>
      </c>
      <c r="Z195" s="182" t="s">
        <v>86</v>
      </c>
      <c r="AA195" s="182" t="s">
        <v>78</v>
      </c>
      <c r="AK195" s="148"/>
      <c r="AL195" s="148"/>
      <c r="AM195" s="148"/>
      <c r="AX195" s="17"/>
      <c r="AY195" s="17"/>
      <c r="BI195" s="17"/>
      <c r="BJ195" s="17"/>
      <c r="BK195" s="20"/>
      <c r="BS195" s="17"/>
      <c r="BT195" s="17"/>
      <c r="BU195" s="17"/>
      <c r="BV195" s="20"/>
      <c r="BY195" s="17"/>
      <c r="BZ195" s="17"/>
      <c r="CA195" s="17"/>
      <c r="CB195" s="17"/>
      <c r="CK195" s="17"/>
      <c r="CL195" s="17"/>
      <c r="CM195" s="77"/>
      <c r="EC195" s="17"/>
      <c r="ED195" s="18"/>
    </row>
    <row r="196" spans="2:134">
      <c r="C196" s="56" t="s">
        <v>70</v>
      </c>
      <c r="D196" s="166">
        <f>TDIST(D195,$E$89,1)</f>
        <v>3.3682130570114318E-5</v>
      </c>
      <c r="E196" s="166">
        <f>TDIST(E195,$E$89,1)</f>
        <v>3.6368135481631056E-7</v>
      </c>
      <c r="F196" s="166">
        <f>TDIST(F195,$E$89,1)</f>
        <v>2.0005573952877674E-7</v>
      </c>
      <c r="G196" s="166">
        <f>TDIST(G195,$E$89,1)</f>
        <v>1.4336926169557247E-6</v>
      </c>
      <c r="H196" s="166">
        <f>TDIST(H195,$E$89,1)</f>
        <v>2.9266909976774918E-6</v>
      </c>
      <c r="I196" s="58"/>
      <c r="J196" s="58"/>
      <c r="K196" s="32"/>
      <c r="R196" s="18"/>
      <c r="S196" s="18"/>
      <c r="Y196" s="183"/>
      <c r="Z196" s="183"/>
      <c r="AA196" s="183"/>
      <c r="AK196" s="148"/>
      <c r="AL196" s="148"/>
      <c r="AM196" s="148"/>
      <c r="AX196" s="17"/>
      <c r="AY196" s="17"/>
      <c r="BI196" s="17"/>
      <c r="BJ196" s="17"/>
      <c r="BK196" s="20"/>
      <c r="BS196" s="17"/>
      <c r="BT196" s="17"/>
      <c r="BU196" s="17"/>
      <c r="BV196" s="20"/>
      <c r="BY196" s="17"/>
      <c r="BZ196" s="17"/>
      <c r="CA196" s="17"/>
      <c r="CB196" s="17"/>
      <c r="CK196" s="17"/>
      <c r="CL196" s="17"/>
      <c r="CM196" s="77"/>
      <c r="EC196" s="17"/>
      <c r="ED196" s="18"/>
    </row>
    <row r="197" spans="2:134">
      <c r="B197" s="57" t="s">
        <v>67</v>
      </c>
      <c r="C197" s="56" t="s">
        <v>71</v>
      </c>
      <c r="D197" s="121">
        <f>1-D196</f>
        <v>0.99996631786942991</v>
      </c>
      <c r="E197" s="121">
        <f>1-E196</f>
        <v>0.99999963631864519</v>
      </c>
      <c r="F197" s="121">
        <f>1-F196</f>
        <v>0.99999979994426047</v>
      </c>
      <c r="G197" s="118">
        <f>1-G196</f>
        <v>0.99999856630738304</v>
      </c>
      <c r="H197" s="121">
        <f>1-H196</f>
        <v>0.99999707330900234</v>
      </c>
      <c r="I197" s="116"/>
      <c r="J197" s="59"/>
      <c r="K197" s="32"/>
      <c r="S197" s="18"/>
      <c r="Y197">
        <f>G29</f>
        <v>1</v>
      </c>
      <c r="Z197">
        <v>1</v>
      </c>
      <c r="AA197">
        <v>1</v>
      </c>
      <c r="AB197" s="20">
        <f>AA198</f>
        <v>2.2537536924287291</v>
      </c>
      <c r="AK197" s="182" t="s">
        <v>77</v>
      </c>
      <c r="AL197" s="182" t="s">
        <v>86</v>
      </c>
      <c r="AM197" s="182" t="s">
        <v>78</v>
      </c>
      <c r="AX197" s="17"/>
      <c r="AY197" s="17"/>
      <c r="BJ197" s="17"/>
      <c r="BK197" s="20"/>
      <c r="BS197" s="17"/>
      <c r="BT197" s="17"/>
      <c r="BU197" s="17"/>
      <c r="BV197" s="20"/>
      <c r="BY197" s="17"/>
      <c r="BZ197" s="17"/>
      <c r="CA197" s="17"/>
      <c r="CB197" s="17"/>
      <c r="CK197" s="17"/>
      <c r="CL197" s="17"/>
      <c r="CM197" s="77"/>
      <c r="EC197" s="17"/>
      <c r="ED197" s="18"/>
    </row>
    <row r="198" spans="2:134">
      <c r="B198" s="57" t="s">
        <v>69</v>
      </c>
      <c r="C198" s="56" t="s">
        <v>72</v>
      </c>
      <c r="D198" s="23" t="s">
        <v>74</v>
      </c>
      <c r="E198" s="23" t="s">
        <v>74</v>
      </c>
      <c r="F198" s="23" t="s">
        <v>74</v>
      </c>
      <c r="G198" s="23" t="s">
        <v>74</v>
      </c>
      <c r="H198" s="23" t="s">
        <v>74</v>
      </c>
      <c r="I198" s="23"/>
      <c r="J198" s="23"/>
      <c r="K198" s="32"/>
      <c r="R198" s="18"/>
      <c r="S198" s="18"/>
      <c r="Y198">
        <f t="shared" ref="Y198:Y207" si="61">G30</f>
        <v>3</v>
      </c>
      <c r="Z198">
        <v>2</v>
      </c>
      <c r="AA198" s="20">
        <v>2.2537536924287291</v>
      </c>
      <c r="AB198" s="20">
        <f>AA199</f>
        <v>3.5810132480699184</v>
      </c>
      <c r="AK198" s="182"/>
      <c r="AL198" s="182"/>
      <c r="AM198" s="182"/>
      <c r="AX198" s="17"/>
      <c r="AY198" s="17"/>
      <c r="BI198" s="17"/>
      <c r="BJ198" s="17"/>
      <c r="BK198" s="20"/>
      <c r="BV198" s="20"/>
      <c r="BY198" s="17"/>
      <c r="BZ198" s="17"/>
      <c r="CA198" s="17"/>
      <c r="CB198" s="17"/>
      <c r="CK198" s="17"/>
      <c r="CL198" s="17"/>
      <c r="CM198" s="77"/>
      <c r="EC198" s="17"/>
      <c r="ED198" s="18"/>
    </row>
    <row r="199" spans="2:134">
      <c r="C199" s="60" t="s">
        <v>75</v>
      </c>
      <c r="D199" s="61"/>
      <c r="E199" s="62">
        <f>E193/(E192+1)</f>
        <v>779303.37182419514</v>
      </c>
      <c r="F199" s="35"/>
      <c r="G199" s="35"/>
      <c r="H199" s="35"/>
      <c r="I199" s="35"/>
      <c r="J199" s="35"/>
      <c r="K199" s="32"/>
      <c r="R199" s="18"/>
      <c r="S199" s="18"/>
      <c r="Y199">
        <f t="shared" si="61"/>
        <v>1</v>
      </c>
      <c r="Z199">
        <v>3</v>
      </c>
      <c r="AA199" s="20">
        <v>3.5810132480699184</v>
      </c>
      <c r="AB199" s="20">
        <f>AA200</f>
        <v>3.5810132480702883</v>
      </c>
      <c r="AK199" s="17">
        <f>J29</f>
        <v>11.5</v>
      </c>
      <c r="AL199" s="17">
        <v>7.4</v>
      </c>
      <c r="AM199" s="17">
        <v>7.4</v>
      </c>
      <c r="AN199" s="17">
        <f>AM200</f>
        <v>7.399999999998613</v>
      </c>
      <c r="BI199" s="17"/>
      <c r="BJ199" s="17"/>
      <c r="BK199" s="20"/>
      <c r="BV199" s="20"/>
      <c r="BY199" s="17"/>
      <c r="BZ199" s="17"/>
      <c r="CA199" s="17"/>
      <c r="CB199" s="17"/>
      <c r="CK199" s="17"/>
      <c r="CL199" s="17"/>
      <c r="CM199" s="77"/>
      <c r="EC199" s="17"/>
      <c r="ED199" s="18"/>
    </row>
    <row r="200" spans="2:134">
      <c r="R200" s="18"/>
      <c r="S200" s="18"/>
      <c r="Y200">
        <f t="shared" si="61"/>
        <v>2</v>
      </c>
      <c r="Z200">
        <v>4</v>
      </c>
      <c r="AA200" s="20">
        <v>3.5810132480702883</v>
      </c>
      <c r="AB200" s="17"/>
      <c r="AK200" s="17">
        <f t="shared" ref="AK200:AK207" si="62">J30</f>
        <v>9</v>
      </c>
      <c r="AL200" s="17">
        <v>7.8</v>
      </c>
      <c r="AM200" s="17">
        <v>7.399999999998613</v>
      </c>
      <c r="AN200" s="17">
        <f t="shared" ref="AN200:AN206" si="63">AM201</f>
        <v>7.399999999998613</v>
      </c>
      <c r="AS200" s="17"/>
      <c r="BI200" s="17"/>
      <c r="BJ200" s="17"/>
      <c r="BV200" s="20"/>
      <c r="BY200" s="17"/>
      <c r="BZ200" s="17"/>
      <c r="CA200" s="17"/>
      <c r="CB200" s="17"/>
      <c r="CK200" s="17"/>
      <c r="CL200" s="17"/>
      <c r="CM200" s="77"/>
      <c r="EC200" s="17"/>
      <c r="ED200" s="18"/>
    </row>
    <row r="201" spans="2:134">
      <c r="R201" s="18"/>
      <c r="S201" s="18"/>
      <c r="Y201">
        <f t="shared" si="61"/>
        <v>4</v>
      </c>
      <c r="AA201" s="17"/>
      <c r="AB201" s="17"/>
      <c r="AK201" s="17">
        <f t="shared" si="62"/>
        <v>10.7</v>
      </c>
      <c r="AL201" s="17">
        <v>7.9</v>
      </c>
      <c r="AM201" s="17">
        <v>7.399999999998613</v>
      </c>
      <c r="AN201" s="17">
        <f t="shared" si="63"/>
        <v>7.399999999998613</v>
      </c>
      <c r="AS201" s="17"/>
      <c r="BI201" s="17"/>
      <c r="BJ201" s="17"/>
      <c r="BV201" s="20"/>
      <c r="BY201" s="17"/>
      <c r="BZ201" s="17"/>
      <c r="CA201" s="17"/>
      <c r="CB201" s="17"/>
      <c r="CK201" s="17"/>
      <c r="CL201" s="17"/>
      <c r="CM201" s="77"/>
      <c r="EC201" s="17"/>
      <c r="ED201" s="18"/>
    </row>
    <row r="202" spans="2:134">
      <c r="C202" s="143" t="s">
        <v>117</v>
      </c>
      <c r="D202" s="144"/>
      <c r="E202" s="144"/>
      <c r="F202" s="144"/>
      <c r="G202" s="171"/>
      <c r="H202" s="171"/>
      <c r="I202" s="171"/>
      <c r="J202" s="171"/>
      <c r="R202" s="18"/>
      <c r="S202" s="18"/>
      <c r="Y202">
        <f t="shared" si="61"/>
        <v>1</v>
      </c>
      <c r="AB202" s="17"/>
      <c r="AK202" s="17">
        <f t="shared" si="62"/>
        <v>12.7</v>
      </c>
      <c r="AL202" s="17">
        <v>8</v>
      </c>
      <c r="AM202" s="17">
        <v>7.399999999998613</v>
      </c>
      <c r="AN202" s="17">
        <f t="shared" si="63"/>
        <v>7.399999999998613</v>
      </c>
      <c r="AS202" s="17"/>
      <c r="BI202" s="17"/>
      <c r="BJ202" s="17"/>
      <c r="BV202" s="20"/>
      <c r="BY202" s="17"/>
      <c r="BZ202" s="17"/>
      <c r="CA202" s="17"/>
      <c r="CB202" s="17"/>
      <c r="CK202" s="17"/>
      <c r="CL202" s="17"/>
      <c r="CM202" s="77"/>
      <c r="EC202" s="17"/>
      <c r="ED202" s="18"/>
    </row>
    <row r="203" spans="2:134">
      <c r="C203" s="172" t="s">
        <v>118</v>
      </c>
      <c r="D203" s="171"/>
      <c r="E203" s="171"/>
      <c r="F203" s="171"/>
      <c r="G203" s="171"/>
      <c r="H203" s="171"/>
      <c r="I203" s="171"/>
      <c r="J203" s="171"/>
      <c r="R203" s="18"/>
      <c r="S203" s="18"/>
      <c r="Y203">
        <f t="shared" si="61"/>
        <v>1</v>
      </c>
      <c r="AK203" s="17">
        <f t="shared" si="62"/>
        <v>9</v>
      </c>
      <c r="AL203" s="17">
        <v>9</v>
      </c>
      <c r="AM203" s="17">
        <v>7.399999999998613</v>
      </c>
      <c r="AN203" s="17">
        <f t="shared" si="63"/>
        <v>10.803550153744604</v>
      </c>
      <c r="AS203" s="17"/>
      <c r="BI203" s="17"/>
      <c r="BJ203" s="17"/>
      <c r="BV203" s="20"/>
      <c r="BY203" s="17"/>
      <c r="BZ203" s="17"/>
      <c r="CA203" s="17"/>
      <c r="CB203" s="17"/>
      <c r="CK203" s="17"/>
      <c r="CL203" s="20"/>
      <c r="EC203" s="17"/>
      <c r="ED203" s="18"/>
    </row>
    <row r="204" spans="2:134">
      <c r="C204" s="172" t="s">
        <v>119</v>
      </c>
      <c r="D204" s="171"/>
      <c r="E204" s="171"/>
      <c r="F204" s="171"/>
      <c r="G204" s="171"/>
      <c r="H204" s="171"/>
      <c r="I204" s="171"/>
      <c r="J204" s="171"/>
      <c r="R204" s="18"/>
      <c r="S204" s="18"/>
      <c r="Y204">
        <f t="shared" si="61"/>
        <v>1</v>
      </c>
      <c r="AK204" s="17">
        <f t="shared" si="62"/>
        <v>7.4</v>
      </c>
      <c r="AL204" s="17">
        <v>10</v>
      </c>
      <c r="AM204" s="17">
        <v>10.803550153744604</v>
      </c>
      <c r="AN204" s="17">
        <f t="shared" si="63"/>
        <v>10.803550153744604</v>
      </c>
      <c r="AS204" s="17"/>
      <c r="BI204" s="17"/>
      <c r="BJ204" s="17"/>
      <c r="BV204" s="20"/>
      <c r="BY204" s="17"/>
      <c r="BZ204" s="17"/>
      <c r="CA204" s="17"/>
      <c r="CB204" s="17"/>
      <c r="CK204" s="17"/>
      <c r="CL204" s="20"/>
      <c r="EC204" s="17"/>
      <c r="ED204" s="18"/>
    </row>
    <row r="205" spans="2:134">
      <c r="C205" s="172" t="s">
        <v>127</v>
      </c>
      <c r="D205" s="171"/>
      <c r="E205" s="171"/>
      <c r="F205" s="171"/>
      <c r="G205" s="171"/>
      <c r="H205" s="171"/>
      <c r="I205" s="171"/>
      <c r="J205" s="171"/>
      <c r="R205" s="18"/>
      <c r="S205" s="18"/>
      <c r="Y205">
        <f t="shared" si="61"/>
        <v>2</v>
      </c>
      <c r="AK205" s="17">
        <f t="shared" si="62"/>
        <v>7.8</v>
      </c>
      <c r="AL205" s="17">
        <v>10.1</v>
      </c>
      <c r="AM205" s="17">
        <v>10.803550153744604</v>
      </c>
      <c r="AN205" s="17">
        <f t="shared" si="63"/>
        <v>10.803550153744604</v>
      </c>
      <c r="AS205" s="17"/>
      <c r="BI205" s="17"/>
      <c r="BK205" s="17"/>
      <c r="BV205" s="20"/>
      <c r="BY205" s="17"/>
      <c r="BZ205" s="17"/>
      <c r="CA205" s="17"/>
      <c r="CB205" s="17"/>
      <c r="CK205" s="17"/>
      <c r="CL205" s="20"/>
      <c r="EC205" s="17"/>
      <c r="ED205" s="18"/>
    </row>
    <row r="206" spans="2:134">
      <c r="C206" s="172" t="s">
        <v>128</v>
      </c>
      <c r="D206" s="171"/>
      <c r="E206" s="171"/>
      <c r="F206" s="171"/>
      <c r="G206" s="171"/>
      <c r="H206" s="171"/>
      <c r="I206" s="171"/>
      <c r="J206" s="171"/>
      <c r="S206" s="18"/>
      <c r="Y206">
        <f t="shared" si="61"/>
        <v>1</v>
      </c>
      <c r="AK206" s="17">
        <f t="shared" si="62"/>
        <v>8</v>
      </c>
      <c r="AL206" s="17">
        <v>10.5</v>
      </c>
      <c r="AM206" s="17">
        <v>10.803550153744604</v>
      </c>
      <c r="AN206" s="17">
        <f t="shared" si="63"/>
        <v>10.803550153744604</v>
      </c>
      <c r="AS206" s="17"/>
      <c r="BI206" s="17"/>
      <c r="BJ206" s="17"/>
      <c r="BK206" s="20"/>
      <c r="BV206" s="20"/>
      <c r="BY206" s="17"/>
      <c r="BZ206" s="17"/>
      <c r="CA206" s="17"/>
      <c r="CB206" s="17"/>
      <c r="CK206" s="17"/>
      <c r="CL206" s="20"/>
      <c r="EC206" s="17"/>
      <c r="ED206" s="18"/>
    </row>
    <row r="207" spans="2:134">
      <c r="C207" s="172" t="s">
        <v>129</v>
      </c>
      <c r="D207" s="171"/>
      <c r="E207" s="171"/>
      <c r="F207" s="171"/>
      <c r="G207" s="171"/>
      <c r="H207" s="171"/>
      <c r="I207" s="171"/>
      <c r="J207" s="171"/>
      <c r="S207" s="18"/>
      <c r="Y207">
        <f t="shared" si="61"/>
        <v>1</v>
      </c>
      <c r="AK207" s="17">
        <f t="shared" si="62"/>
        <v>13</v>
      </c>
      <c r="AL207" s="17">
        <v>10.7</v>
      </c>
      <c r="AM207" s="17">
        <v>10.803550153744604</v>
      </c>
      <c r="AN207" s="17">
        <f>AM208</f>
        <v>10.803550153742743</v>
      </c>
      <c r="AS207" s="17"/>
      <c r="BI207" s="17"/>
      <c r="BJ207" s="17"/>
      <c r="BK207" s="20"/>
      <c r="BV207" s="20"/>
      <c r="BY207" s="17"/>
      <c r="BZ207" s="17"/>
      <c r="CA207" s="17"/>
      <c r="CB207" s="17"/>
      <c r="CK207" s="17"/>
      <c r="CL207" s="20"/>
      <c r="EC207" s="17"/>
      <c r="ED207" s="18"/>
    </row>
    <row r="208" spans="2:134">
      <c r="C208" s="172" t="s">
        <v>130</v>
      </c>
      <c r="D208" s="172"/>
      <c r="E208" s="172"/>
      <c r="F208" s="172"/>
      <c r="G208" s="172"/>
      <c r="H208" s="172"/>
      <c r="I208" s="172"/>
      <c r="J208" s="172"/>
      <c r="S208" s="18"/>
      <c r="Y208">
        <f>G40</f>
        <v>3</v>
      </c>
      <c r="AK208" s="17">
        <f>J38</f>
        <v>7.9</v>
      </c>
      <c r="AL208" s="17">
        <v>11.5</v>
      </c>
      <c r="AM208" s="17">
        <v>10.803550153742743</v>
      </c>
      <c r="AN208" s="17">
        <f>AM209</f>
        <v>11.2507800328501</v>
      </c>
      <c r="AS208" s="17"/>
      <c r="BI208" s="17"/>
      <c r="BJ208" s="17"/>
      <c r="BK208" s="20"/>
      <c r="BV208" s="20"/>
      <c r="BY208" s="17"/>
      <c r="BZ208" s="17"/>
      <c r="CA208" s="17"/>
      <c r="CB208" s="17"/>
      <c r="CK208" s="17"/>
      <c r="CL208" s="20"/>
      <c r="EC208" s="17"/>
      <c r="ED208" s="18"/>
    </row>
    <row r="209" spans="1:135">
      <c r="S209" s="18"/>
      <c r="Y209">
        <f>G41</f>
        <v>1</v>
      </c>
      <c r="AK209" s="17">
        <f>J39</f>
        <v>10</v>
      </c>
      <c r="AL209" s="17">
        <v>12.7</v>
      </c>
      <c r="AM209" s="17">
        <v>11.2507800328501</v>
      </c>
      <c r="AN209" s="17">
        <f>AM210</f>
        <v>14.500657910079383</v>
      </c>
      <c r="AS209" s="17"/>
      <c r="BI209" s="17"/>
      <c r="BJ209" s="17"/>
      <c r="BK209" s="20"/>
      <c r="BV209" s="20"/>
      <c r="BY209" s="17"/>
      <c r="BZ209" s="17"/>
      <c r="CA209" s="17"/>
      <c r="CB209" s="17"/>
      <c r="CK209" s="17"/>
      <c r="CL209" s="20"/>
      <c r="EC209" s="17"/>
      <c r="ED209" s="18"/>
    </row>
    <row r="210" spans="1:135">
      <c r="S210" s="18"/>
      <c r="Y210">
        <f>G42</f>
        <v>1</v>
      </c>
      <c r="AK210" s="17">
        <f>J40</f>
        <v>10.5</v>
      </c>
      <c r="AL210" s="17">
        <v>13</v>
      </c>
      <c r="AM210" s="17">
        <v>14.500657910079383</v>
      </c>
      <c r="AN210" s="17"/>
      <c r="AS210" s="17"/>
      <c r="BI210" s="17"/>
      <c r="BJ210" s="17"/>
      <c r="BK210" s="20"/>
      <c r="BV210" s="20"/>
      <c r="BY210" s="17"/>
      <c r="BZ210" s="17"/>
      <c r="CA210" s="17"/>
      <c r="CB210" s="17"/>
      <c r="CK210" s="17"/>
      <c r="CL210" s="20"/>
      <c r="EC210" s="17"/>
      <c r="ED210" s="18"/>
    </row>
    <row r="211" spans="1:135">
      <c r="S211" s="18"/>
      <c r="AK211" s="17">
        <f>J41</f>
        <v>10.1</v>
      </c>
      <c r="AL211" s="17"/>
      <c r="AM211" s="17"/>
      <c r="AN211" s="17"/>
      <c r="AS211" s="17"/>
      <c r="BI211" s="17"/>
      <c r="BJ211" s="17"/>
      <c r="BK211" s="20"/>
      <c r="BV211" s="20"/>
      <c r="BY211" s="17"/>
      <c r="BZ211" s="17"/>
      <c r="CA211" s="17"/>
      <c r="CB211" s="17"/>
      <c r="CK211" s="17"/>
      <c r="CL211" s="20"/>
      <c r="EC211" s="17"/>
      <c r="ED211" s="18"/>
    </row>
    <row r="212" spans="1:135">
      <c r="S212" s="18"/>
      <c r="AK212" s="17">
        <f>J42</f>
        <v>10.5</v>
      </c>
      <c r="AL212" s="17"/>
      <c r="AM212" s="17"/>
      <c r="AN212" s="17"/>
      <c r="AS212" s="17"/>
      <c r="BI212" s="17"/>
      <c r="BJ212" s="17"/>
      <c r="BK212" s="20"/>
      <c r="BV212" s="20"/>
      <c r="BY212" s="17"/>
      <c r="BZ212" s="17"/>
      <c r="CA212" s="17"/>
      <c r="CB212" s="17"/>
      <c r="CK212" s="17"/>
      <c r="CL212" s="20"/>
      <c r="EC212" s="17"/>
      <c r="ED212" s="18"/>
    </row>
    <row r="213" spans="1:135">
      <c r="S213" s="18"/>
      <c r="AK213" s="17"/>
      <c r="AL213" s="17"/>
      <c r="AM213" s="17"/>
      <c r="AN213" s="17"/>
      <c r="AS213" s="17"/>
      <c r="BI213" s="17"/>
      <c r="BJ213" s="17"/>
      <c r="BK213" s="20"/>
      <c r="BV213" s="20"/>
      <c r="BY213" s="17"/>
      <c r="BZ213" s="17"/>
      <c r="CA213" s="17"/>
      <c r="CB213" s="17"/>
      <c r="CK213" s="17"/>
      <c r="CL213" s="20"/>
      <c r="EC213" s="17"/>
      <c r="ED213" s="18"/>
    </row>
    <row r="214" spans="1:135" ht="31">
      <c r="A214" s="191" t="s">
        <v>143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V214" s="17"/>
      <c r="BW214" s="17"/>
      <c r="BY214" s="17"/>
      <c r="CK214" s="17"/>
      <c r="CL214" s="20"/>
    </row>
    <row r="215" spans="1:135" ht="16" thickBot="1">
      <c r="E215" s="38"/>
      <c r="BG215" s="92"/>
      <c r="BH215" s="63"/>
      <c r="BV215" s="17"/>
      <c r="BW215" s="17"/>
      <c r="CK215" s="17"/>
      <c r="CL215" s="20"/>
    </row>
    <row r="216" spans="1:135" ht="16" thickBot="1">
      <c r="B216" s="64" t="s">
        <v>131</v>
      </c>
      <c r="D216" s="145" t="s">
        <v>134</v>
      </c>
      <c r="E216" s="66"/>
      <c r="F216" s="66"/>
      <c r="G216" s="66"/>
      <c r="H216" s="66"/>
      <c r="I216" s="66"/>
      <c r="J216" s="66"/>
      <c r="K216" s="66"/>
      <c r="L216" s="66"/>
      <c r="BV216" s="17"/>
      <c r="BW216" s="17"/>
      <c r="CK216" s="17"/>
      <c r="CL216" s="20"/>
    </row>
    <row r="217" spans="1:135">
      <c r="D217" s="66" t="s">
        <v>150</v>
      </c>
      <c r="BV217" s="17"/>
      <c r="BW217" s="17"/>
      <c r="CK217" s="17"/>
      <c r="CL217" s="20"/>
    </row>
    <row r="218" spans="1:135">
      <c r="C218" s="67"/>
      <c r="D218" s="68"/>
      <c r="G218" s="68"/>
      <c r="H218" s="68"/>
      <c r="I218" s="68"/>
      <c r="BV218" s="17"/>
      <c r="BW218" s="17"/>
      <c r="CL218" s="20"/>
    </row>
    <row r="219" spans="1:135" ht="15" customHeight="1">
      <c r="M219" s="184" t="s">
        <v>54</v>
      </c>
      <c r="N219" s="184"/>
      <c r="O219" s="184"/>
      <c r="Y219" s="184" t="s">
        <v>6</v>
      </c>
      <c r="Z219" s="184"/>
      <c r="AA219" s="184"/>
      <c r="BV219" s="17"/>
      <c r="BW219" s="17"/>
      <c r="CL219" s="20"/>
    </row>
    <row r="220" spans="1:135">
      <c r="A220" s="21" t="s">
        <v>44</v>
      </c>
      <c r="B220" s="22" t="s">
        <v>45</v>
      </c>
      <c r="C220" s="22" t="s">
        <v>46</v>
      </c>
      <c r="G220" s="22" t="s">
        <v>47</v>
      </c>
      <c r="H220" s="22" t="s">
        <v>48</v>
      </c>
      <c r="I220" s="22" t="s">
        <v>49</v>
      </c>
      <c r="J220" s="22" t="s">
        <v>50</v>
      </c>
      <c r="K220" s="22" t="s">
        <v>51</v>
      </c>
      <c r="M220" s="186" t="s">
        <v>77</v>
      </c>
      <c r="N220" s="188" t="s">
        <v>86</v>
      </c>
      <c r="O220" s="189" t="s">
        <v>84</v>
      </c>
      <c r="Y220" s="182" t="s">
        <v>77</v>
      </c>
      <c r="Z220" s="182" t="s">
        <v>86</v>
      </c>
      <c r="AA220" s="182" t="s">
        <v>78</v>
      </c>
      <c r="AW220" s="146"/>
      <c r="AX220" s="146"/>
      <c r="AY220" s="146"/>
      <c r="BV220" s="17"/>
      <c r="BW220" s="17"/>
      <c r="CL220" s="20"/>
    </row>
    <row r="221" spans="1:135" ht="15" customHeight="1">
      <c r="D221" s="87" t="s">
        <v>52</v>
      </c>
      <c r="E221" s="87" t="s">
        <v>53</v>
      </c>
      <c r="F221" s="23"/>
      <c r="G221" s="23" t="s">
        <v>54</v>
      </c>
      <c r="H221" s="23" t="s">
        <v>2</v>
      </c>
      <c r="I221" s="24" t="s">
        <v>5</v>
      </c>
      <c r="J221" s="24" t="s">
        <v>6</v>
      </c>
      <c r="K221" s="23" t="s">
        <v>8</v>
      </c>
      <c r="M221" s="187"/>
      <c r="N221" s="182"/>
      <c r="O221" s="190"/>
      <c r="Y221" s="182"/>
      <c r="Z221" s="182"/>
      <c r="AA221" s="182"/>
      <c r="AW221" s="146"/>
      <c r="AX221" s="146"/>
      <c r="AY221" s="146"/>
      <c r="BV221" s="17"/>
      <c r="BW221" s="17"/>
    </row>
    <row r="222" spans="1:135">
      <c r="A222" s="25">
        <f>A165</f>
        <v>1</v>
      </c>
      <c r="B222" s="26">
        <f>D29</f>
        <v>75862.068965517246</v>
      </c>
      <c r="C222" s="85">
        <f t="shared" ref="C222:C235" si="64">TREND($B$165:$B$178,$G$165:$K$178,G222:K222,1)</f>
        <v>76151.377740217969</v>
      </c>
      <c r="D222" s="27">
        <f t="shared" ref="D222:D235" si="65">(C222-B222)/B222</f>
        <v>3.8136156665095301E-3</v>
      </c>
      <c r="E222" s="27">
        <f t="shared" ref="E222:E235" si="66">ABS(D222)</f>
        <v>3.8136156665095301E-3</v>
      </c>
      <c r="G222" s="97">
        <f t="shared" ref="G222:G235" si="67">VLOOKUP(M222,$N$165:$O$177,2,0)</f>
        <v>1494.6249624069073</v>
      </c>
      <c r="H222" s="157">
        <f>F29</f>
        <v>1</v>
      </c>
      <c r="I222" s="157">
        <f t="shared" ref="I222:I235" si="68">VLOOKUP(M245,$Z$197:$AA$200,2,0)</f>
        <v>1</v>
      </c>
      <c r="J222" s="158">
        <f t="shared" ref="J222:J235" si="69">VLOOKUP(Y223,$Z$167:$AA$179,2,0)</f>
        <v>60.141258271236104</v>
      </c>
      <c r="K222" s="164">
        <f t="shared" ref="K222:K235" si="70">VLOOKUP(Y245,$AL$199:$AM$268,2,0)</f>
        <v>10.803550153742743</v>
      </c>
      <c r="M222" s="18">
        <f>E29</f>
        <v>1500</v>
      </c>
      <c r="N222">
        <v>80</v>
      </c>
      <c r="O222" s="18">
        <v>80</v>
      </c>
      <c r="P222" s="18">
        <f t="shared" ref="P222:P233" si="71">O223</f>
        <v>79.999999999985775</v>
      </c>
      <c r="Y222" s="183"/>
      <c r="Z222" s="183"/>
      <c r="AA222" s="183"/>
      <c r="AB222" s="20"/>
      <c r="AW222" s="17"/>
      <c r="AX222" s="17"/>
      <c r="AY222" s="17"/>
      <c r="AZ222" s="17"/>
      <c r="BV222" s="17"/>
      <c r="ED222" s="80"/>
      <c r="EE222" s="80"/>
    </row>
    <row r="223" spans="1:135" ht="15.75" customHeight="1">
      <c r="A223" s="25">
        <f t="shared" ref="A223:A235" si="72">A166</f>
        <v>2</v>
      </c>
      <c r="B223" s="26">
        <f>D30</f>
        <v>90769.230769230766</v>
      </c>
      <c r="C223" s="85">
        <f t="shared" si="64"/>
        <v>90474.739612508492</v>
      </c>
      <c r="D223" s="27">
        <f t="shared" si="65"/>
        <v>-3.2443940994826737E-3</v>
      </c>
      <c r="E223" s="27">
        <f t="shared" si="66"/>
        <v>3.2443940994826737E-3</v>
      </c>
      <c r="G223" s="97">
        <f t="shared" si="67"/>
        <v>1494.6249624069917</v>
      </c>
      <c r="H223" s="157">
        <f t="shared" ref="H223:H235" si="73">F30</f>
        <v>2</v>
      </c>
      <c r="I223" s="157">
        <f t="shared" si="68"/>
        <v>3.5810132480699184</v>
      </c>
      <c r="J223" s="158">
        <f t="shared" si="69"/>
        <v>60.378888033496501</v>
      </c>
      <c r="K223" s="164">
        <f t="shared" si="70"/>
        <v>7.399999999998613</v>
      </c>
      <c r="M223" s="18">
        <f t="shared" ref="M223:M235" si="74">E30</f>
        <v>1200</v>
      </c>
      <c r="N223" s="18">
        <v>190</v>
      </c>
      <c r="O223" s="18">
        <v>79.999999999985775</v>
      </c>
      <c r="P223" s="18">
        <f t="shared" si="71"/>
        <v>79.999999999985775</v>
      </c>
      <c r="Y223" s="17">
        <f t="shared" ref="Y223:Y236" si="75">H29</f>
        <v>58</v>
      </c>
      <c r="Z223" s="17">
        <v>51.7</v>
      </c>
      <c r="AA223" s="17">
        <v>51.7</v>
      </c>
      <c r="AB223" s="17">
        <f t="shared" ref="AB223:AB233" si="76">AA224</f>
        <v>53.3</v>
      </c>
      <c r="AW223" s="17"/>
      <c r="AX223" s="17"/>
      <c r="AY223" s="17"/>
      <c r="AZ223" s="17"/>
      <c r="CH223" s="185"/>
      <c r="CI223" s="185"/>
      <c r="CJ223" s="185"/>
    </row>
    <row r="224" spans="1:135" ht="15" customHeight="1">
      <c r="A224" s="25">
        <f t="shared" si="72"/>
        <v>3</v>
      </c>
      <c r="B224" s="26">
        <f t="shared" ref="B224:B235" si="77">D31</f>
        <v>94876.660341555966</v>
      </c>
      <c r="C224" s="85">
        <f t="shared" si="64"/>
        <v>96113.587151711981</v>
      </c>
      <c r="D224" s="27">
        <f t="shared" si="65"/>
        <v>1.3037208579044406E-2</v>
      </c>
      <c r="E224" s="27">
        <f t="shared" si="66"/>
        <v>1.3037208579044406E-2</v>
      </c>
      <c r="G224" s="97">
        <f t="shared" si="67"/>
        <v>79.999999999985775</v>
      </c>
      <c r="H224" s="157">
        <f t="shared" si="73"/>
        <v>2</v>
      </c>
      <c r="I224" s="157">
        <f t="shared" si="68"/>
        <v>1</v>
      </c>
      <c r="J224" s="158">
        <f t="shared" si="69"/>
        <v>55.489106282014475</v>
      </c>
      <c r="K224" s="164">
        <f t="shared" si="70"/>
        <v>10.803550153744604</v>
      </c>
      <c r="M224" s="18">
        <f t="shared" si="74"/>
        <v>440</v>
      </c>
      <c r="N224" s="18">
        <v>380</v>
      </c>
      <c r="O224" s="18">
        <v>79.999999999985775</v>
      </c>
      <c r="P224" s="18">
        <f t="shared" si="71"/>
        <v>79.999999999985775</v>
      </c>
      <c r="X224" s="17"/>
      <c r="Y224" s="17">
        <f t="shared" si="75"/>
        <v>65</v>
      </c>
      <c r="Z224" s="17">
        <v>52</v>
      </c>
      <c r="AA224" s="175">
        <v>53.3</v>
      </c>
      <c r="AB224" s="17">
        <f t="shared" si="76"/>
        <v>55</v>
      </c>
      <c r="AW224" s="17"/>
      <c r="AY224" s="17"/>
      <c r="AZ224" s="17"/>
      <c r="CH224" s="182"/>
      <c r="CI224" s="182"/>
      <c r="CJ224" s="182"/>
      <c r="DL224">
        <v>1</v>
      </c>
      <c r="DM224">
        <v>-5887.5093246393371</v>
      </c>
      <c r="DN224">
        <f>NORMSINV(1-0.5^(1/31))</f>
        <v>-2.0119716331356474</v>
      </c>
      <c r="DO224" s="76">
        <f>1-0.5^(1/31)</f>
        <v>2.2111463664567288E-2</v>
      </c>
      <c r="DP224" s="76">
        <f t="shared" ref="DP224:DP235" si="78">DL224/31</f>
        <v>3.2258064516129031E-2</v>
      </c>
      <c r="DQ224" s="76">
        <f t="shared" ref="DQ224:DQ235" si="79">NORMDIST(DM224,0,$DM$191,1)</f>
        <v>8.6848809923655637E-2</v>
      </c>
    </row>
    <row r="225" spans="1:121">
      <c r="A225" s="25">
        <f t="shared" si="72"/>
        <v>4</v>
      </c>
      <c r="B225" s="26">
        <f t="shared" si="77"/>
        <v>87903.225806451606</v>
      </c>
      <c r="C225" s="85">
        <f t="shared" si="64"/>
        <v>87903.226325924363</v>
      </c>
      <c r="D225" s="27">
        <f t="shared" si="65"/>
        <v>5.9095983299503635E-9</v>
      </c>
      <c r="E225" s="27">
        <f t="shared" si="66"/>
        <v>5.9095983299503635E-9</v>
      </c>
      <c r="G225" s="97">
        <f t="shared" si="67"/>
        <v>79.999999999985775</v>
      </c>
      <c r="H225" s="157">
        <f t="shared" si="73"/>
        <v>1</v>
      </c>
      <c r="I225" s="157">
        <f t="shared" si="68"/>
        <v>2.2537536924287291</v>
      </c>
      <c r="J225" s="158">
        <f t="shared" si="69"/>
        <v>60.378888033491322</v>
      </c>
      <c r="K225" s="164">
        <f t="shared" si="70"/>
        <v>11.2507800328501</v>
      </c>
      <c r="M225" s="18">
        <f t="shared" si="74"/>
        <v>190</v>
      </c>
      <c r="N225" s="18">
        <v>440</v>
      </c>
      <c r="O225" s="18">
        <v>79.999999999985775</v>
      </c>
      <c r="P225" s="18">
        <f t="shared" si="71"/>
        <v>79.999999999985775</v>
      </c>
      <c r="X225" s="17"/>
      <c r="Y225" s="17">
        <f t="shared" si="75"/>
        <v>52.7</v>
      </c>
      <c r="Z225" s="17">
        <v>52.5</v>
      </c>
      <c r="AA225" s="175">
        <v>55</v>
      </c>
      <c r="AB225" s="17">
        <f t="shared" si="76"/>
        <v>55.489106282014475</v>
      </c>
      <c r="AW225" s="17"/>
      <c r="AX225" s="17"/>
      <c r="AY225" s="17"/>
      <c r="AZ225" s="17"/>
      <c r="CH225" s="182"/>
      <c r="CI225" s="182"/>
      <c r="CJ225" s="182"/>
      <c r="DL225">
        <v>2</v>
      </c>
      <c r="DM225">
        <v>-5611.6041617416049</v>
      </c>
      <c r="DN225">
        <f t="shared" ref="DN225:DN235" si="80">NORMSINV((DL225-0.3175)/(31+0.365))</f>
        <v>-1.6105162973596783</v>
      </c>
      <c r="DO225" s="76">
        <f t="shared" ref="DO225:DO235" si="81">(DL225-0.3175)/(31+0.365)</f>
        <v>5.3642595249481916E-2</v>
      </c>
      <c r="DP225" s="76">
        <f t="shared" si="78"/>
        <v>6.4516129032258063E-2</v>
      </c>
      <c r="DQ225" s="76">
        <f t="shared" si="79"/>
        <v>9.7373203445100656E-2</v>
      </c>
    </row>
    <row r="226" spans="1:121">
      <c r="A226" s="25">
        <f t="shared" si="72"/>
        <v>5</v>
      </c>
      <c r="B226" s="26">
        <f t="shared" si="77"/>
        <v>103571.42857142857</v>
      </c>
      <c r="C226" s="85">
        <f t="shared" si="64"/>
        <v>103851.46602626063</v>
      </c>
      <c r="D226" s="27">
        <f t="shared" si="65"/>
        <v>2.7038099087234226E-3</v>
      </c>
      <c r="E226" s="27">
        <f t="shared" si="66"/>
        <v>2.7038099087234226E-3</v>
      </c>
      <c r="G226" s="97">
        <f t="shared" si="67"/>
        <v>79.999999999985775</v>
      </c>
      <c r="H226" s="157">
        <f t="shared" si="73"/>
        <v>2</v>
      </c>
      <c r="I226" s="157">
        <f t="shared" si="68"/>
        <v>3.5810132480702883</v>
      </c>
      <c r="J226" s="158">
        <f t="shared" si="69"/>
        <v>55.489106282031344</v>
      </c>
      <c r="K226" s="164">
        <f t="shared" si="70"/>
        <v>7.399999999998613</v>
      </c>
      <c r="M226" s="18">
        <f t="shared" si="74"/>
        <v>600</v>
      </c>
      <c r="N226" s="18">
        <v>490</v>
      </c>
      <c r="O226" s="18">
        <v>79.999999999985775</v>
      </c>
      <c r="P226" s="18">
        <f t="shared" si="71"/>
        <v>79.999999999985775</v>
      </c>
      <c r="X226" s="17"/>
      <c r="Y226" s="17">
        <f t="shared" si="75"/>
        <v>62</v>
      </c>
      <c r="Z226">
        <v>52.7</v>
      </c>
      <c r="AA226" s="17">
        <v>55.489106282014475</v>
      </c>
      <c r="AB226" s="17">
        <f t="shared" si="76"/>
        <v>59.5</v>
      </c>
      <c r="AW226" s="17"/>
      <c r="AX226" s="17"/>
      <c r="AY226" s="17"/>
      <c r="AZ226" s="17"/>
      <c r="CH226" s="17"/>
      <c r="CI226" s="17"/>
      <c r="CJ226" s="17"/>
      <c r="CK226" s="17"/>
      <c r="DL226">
        <v>3</v>
      </c>
      <c r="DM226">
        <v>-4797.631452523492</v>
      </c>
      <c r="DN226">
        <f t="shared" si="80"/>
        <v>-1.368836034954126</v>
      </c>
      <c r="DO226" s="76">
        <f t="shared" si="81"/>
        <v>8.5525267017376061E-2</v>
      </c>
      <c r="DP226" s="76">
        <f t="shared" si="78"/>
        <v>9.6774193548387094E-2</v>
      </c>
      <c r="DQ226" s="76">
        <f t="shared" si="79"/>
        <v>0.13380533495335709</v>
      </c>
    </row>
    <row r="227" spans="1:121">
      <c r="A227" s="25">
        <f t="shared" si="72"/>
        <v>6</v>
      </c>
      <c r="B227" s="26">
        <f t="shared" si="77"/>
        <v>78448.275862068971</v>
      </c>
      <c r="C227" s="85">
        <f t="shared" si="64"/>
        <v>77878.943410525317</v>
      </c>
      <c r="D227" s="27">
        <f t="shared" si="65"/>
        <v>-7.2574246570399886E-3</v>
      </c>
      <c r="E227" s="27">
        <f t="shared" si="66"/>
        <v>7.2574246570399886E-3</v>
      </c>
      <c r="G227" s="97">
        <f t="shared" si="67"/>
        <v>79.999999999985775</v>
      </c>
      <c r="H227" s="157">
        <f t="shared" si="73"/>
        <v>1</v>
      </c>
      <c r="I227" s="157">
        <f t="shared" si="68"/>
        <v>1</v>
      </c>
      <c r="J227" s="158">
        <f t="shared" si="69"/>
        <v>60.141258271236104</v>
      </c>
      <c r="K227" s="164">
        <f t="shared" si="70"/>
        <v>7.4</v>
      </c>
      <c r="M227" s="18">
        <f t="shared" si="74"/>
        <v>710</v>
      </c>
      <c r="N227" s="18">
        <v>550</v>
      </c>
      <c r="O227" s="18">
        <v>79.999999999985775</v>
      </c>
      <c r="P227" s="18">
        <f t="shared" si="71"/>
        <v>79.999999999985775</v>
      </c>
      <c r="X227" s="17"/>
      <c r="Y227" s="17">
        <f t="shared" si="75"/>
        <v>56</v>
      </c>
      <c r="Z227" s="17">
        <v>56</v>
      </c>
      <c r="AA227" s="175">
        <v>59.5</v>
      </c>
      <c r="AB227" s="17">
        <f t="shared" si="76"/>
        <v>59.9</v>
      </c>
      <c r="AW227" s="17"/>
      <c r="AY227" s="17"/>
      <c r="AZ227" s="17"/>
      <c r="CH227" s="17"/>
      <c r="CI227" s="17"/>
      <c r="CJ227" s="17"/>
      <c r="CK227" s="17"/>
      <c r="CL227" s="17"/>
      <c r="DL227">
        <v>4</v>
      </c>
      <c r="DM227">
        <v>-4049.5979646134947</v>
      </c>
      <c r="DN227">
        <f t="shared" si="80"/>
        <v>-1.1880445015834329</v>
      </c>
      <c r="DO227" s="76">
        <f t="shared" si="81"/>
        <v>0.11740793878527021</v>
      </c>
      <c r="DP227" s="76">
        <f t="shared" si="78"/>
        <v>0.12903225806451613</v>
      </c>
      <c r="DQ227" s="76">
        <f t="shared" si="79"/>
        <v>0.17470489847187515</v>
      </c>
    </row>
    <row r="228" spans="1:121">
      <c r="A228" s="25">
        <f t="shared" si="72"/>
        <v>7</v>
      </c>
      <c r="B228" s="26">
        <f t="shared" si="77"/>
        <v>91428.571428571435</v>
      </c>
      <c r="C228" s="85">
        <f t="shared" si="64"/>
        <v>92012.365028661108</v>
      </c>
      <c r="D228" s="27">
        <f t="shared" si="65"/>
        <v>6.3852425009808022E-3</v>
      </c>
      <c r="E228" s="27">
        <f t="shared" si="66"/>
        <v>6.3852425009808022E-3</v>
      </c>
      <c r="G228" s="97">
        <f t="shared" si="67"/>
        <v>79.999999999985775</v>
      </c>
      <c r="H228" s="157">
        <f t="shared" si="73"/>
        <v>2</v>
      </c>
      <c r="I228" s="157">
        <f t="shared" si="68"/>
        <v>1</v>
      </c>
      <c r="J228" s="158">
        <f t="shared" si="69"/>
        <v>55.489106282014475</v>
      </c>
      <c r="K228" s="164">
        <f t="shared" si="70"/>
        <v>7.399999999998613</v>
      </c>
      <c r="M228" s="18">
        <f t="shared" si="74"/>
        <v>710</v>
      </c>
      <c r="N228" s="18">
        <v>600</v>
      </c>
      <c r="O228" s="18">
        <v>79.999999999985775</v>
      </c>
      <c r="P228" s="18">
        <f t="shared" si="71"/>
        <v>79.999999999985775</v>
      </c>
      <c r="X228" s="17"/>
      <c r="Y228" s="17">
        <f t="shared" si="75"/>
        <v>58</v>
      </c>
      <c r="Z228">
        <v>56.4</v>
      </c>
      <c r="AA228" s="175">
        <v>59.9</v>
      </c>
      <c r="AB228" s="17">
        <f t="shared" si="76"/>
        <v>60.3</v>
      </c>
      <c r="AW228" s="17"/>
      <c r="AY228" s="17"/>
      <c r="AZ228" s="17"/>
      <c r="CH228" s="17"/>
      <c r="CI228" s="17"/>
      <c r="CJ228" s="17"/>
      <c r="CK228" s="17"/>
      <c r="CL228" s="17"/>
      <c r="DL228">
        <v>5</v>
      </c>
      <c r="DM228">
        <v>-3318.9613727005199</v>
      </c>
      <c r="DN228">
        <f t="shared" si="80"/>
        <v>-1.0394807180178778</v>
      </c>
      <c r="DO228" s="76">
        <f t="shared" si="81"/>
        <v>0.14929061055316437</v>
      </c>
      <c r="DP228" s="76">
        <f t="shared" si="78"/>
        <v>0.16129032258064516</v>
      </c>
      <c r="DQ228" s="76">
        <f t="shared" si="79"/>
        <v>0.22156823561780803</v>
      </c>
    </row>
    <row r="229" spans="1:121">
      <c r="A229" s="25">
        <f t="shared" si="72"/>
        <v>8</v>
      </c>
      <c r="B229" s="26">
        <f t="shared" si="77"/>
        <v>86538.461538461532</v>
      </c>
      <c r="C229" s="85">
        <f t="shared" si="64"/>
        <v>86538.559056714526</v>
      </c>
      <c r="D229" s="27">
        <f t="shared" si="65"/>
        <v>1.1268775901601961E-6</v>
      </c>
      <c r="E229" s="27">
        <f t="shared" si="66"/>
        <v>1.1268775901601961E-6</v>
      </c>
      <c r="G229" s="97">
        <f t="shared" si="67"/>
        <v>79.999999999985775</v>
      </c>
      <c r="H229" s="157">
        <f t="shared" si="73"/>
        <v>1</v>
      </c>
      <c r="I229" s="157">
        <f t="shared" si="68"/>
        <v>1</v>
      </c>
      <c r="J229" s="158">
        <f t="shared" si="69"/>
        <v>54.531298692732555</v>
      </c>
      <c r="K229" s="164">
        <f t="shared" si="70"/>
        <v>7.399999999998613</v>
      </c>
      <c r="M229" s="18">
        <f t="shared" si="74"/>
        <v>490</v>
      </c>
      <c r="N229" s="18">
        <v>710</v>
      </c>
      <c r="O229" s="18">
        <v>79.999999999985775</v>
      </c>
      <c r="P229" s="18">
        <f t="shared" si="71"/>
        <v>250</v>
      </c>
      <c r="X229" s="17"/>
      <c r="Y229" s="17">
        <f t="shared" si="75"/>
        <v>52.5</v>
      </c>
      <c r="Z229" s="17">
        <v>58</v>
      </c>
      <c r="AA229" s="175">
        <v>60.3</v>
      </c>
      <c r="AB229" s="17">
        <f t="shared" si="76"/>
        <v>60.378888033491322</v>
      </c>
      <c r="AW229" s="17"/>
      <c r="AX229" s="17"/>
      <c r="AY229" s="17"/>
      <c r="AZ229" s="17"/>
      <c r="CH229" s="17"/>
      <c r="CI229" s="17"/>
      <c r="CJ229" s="17"/>
      <c r="CK229" s="17"/>
      <c r="CL229" s="17"/>
      <c r="DL229">
        <v>6</v>
      </c>
      <c r="DM229">
        <v>-3101.791223617678</v>
      </c>
      <c r="DN229">
        <f t="shared" si="80"/>
        <v>-0.91090284858106574</v>
      </c>
      <c r="DO229" s="76">
        <f t="shared" si="81"/>
        <v>0.1811732823210585</v>
      </c>
      <c r="DP229" s="76">
        <f t="shared" si="78"/>
        <v>0.19354838709677419</v>
      </c>
      <c r="DQ229" s="76">
        <f t="shared" si="79"/>
        <v>0.23677147201073609</v>
      </c>
    </row>
    <row r="230" spans="1:121">
      <c r="A230" s="25">
        <f t="shared" si="72"/>
        <v>9</v>
      </c>
      <c r="B230" s="26">
        <f t="shared" si="77"/>
        <v>87301.587301587308</v>
      </c>
      <c r="C230" s="85">
        <f t="shared" si="64"/>
        <v>87301.593848579694</v>
      </c>
      <c r="D230" s="27">
        <f t="shared" si="65"/>
        <v>7.4992821882584721E-8</v>
      </c>
      <c r="E230" s="27">
        <f t="shared" si="66"/>
        <v>7.4992821882584721E-8</v>
      </c>
      <c r="G230" s="97">
        <f t="shared" si="67"/>
        <v>2863.7196741958428</v>
      </c>
      <c r="H230" s="157">
        <f t="shared" si="73"/>
        <v>2</v>
      </c>
      <c r="I230" s="157">
        <f t="shared" si="68"/>
        <v>2.2537536924287291</v>
      </c>
      <c r="J230" s="158">
        <f t="shared" si="69"/>
        <v>60.378888033491322</v>
      </c>
      <c r="K230" s="164">
        <f t="shared" si="70"/>
        <v>14.500657910079383</v>
      </c>
      <c r="M230" s="18">
        <f t="shared" si="74"/>
        <v>1700</v>
      </c>
      <c r="N230" s="18">
        <v>930</v>
      </c>
      <c r="O230" s="173">
        <v>250</v>
      </c>
      <c r="P230" s="18">
        <f t="shared" si="71"/>
        <v>586.07375116091612</v>
      </c>
      <c r="X230" s="17"/>
      <c r="Y230" s="17">
        <f t="shared" si="75"/>
        <v>52</v>
      </c>
      <c r="Z230" s="17">
        <v>59</v>
      </c>
      <c r="AA230" s="17">
        <v>60.378888033491322</v>
      </c>
      <c r="AB230" s="17">
        <f t="shared" si="76"/>
        <v>60.378888033491322</v>
      </c>
      <c r="AW230" s="17"/>
      <c r="AX230" s="17"/>
      <c r="AY230" s="17"/>
      <c r="AZ230" s="17"/>
      <c r="CH230" s="17"/>
      <c r="CI230" s="17"/>
      <c r="CJ230" s="17"/>
      <c r="CK230" s="17"/>
      <c r="CL230" s="17"/>
      <c r="DL230">
        <v>7</v>
      </c>
      <c r="DM230">
        <v>-2989.5740582277795</v>
      </c>
      <c r="DN230">
        <f t="shared" si="80"/>
        <v>-0.79586258855065772</v>
      </c>
      <c r="DO230" s="76">
        <f t="shared" si="81"/>
        <v>0.21305595408895267</v>
      </c>
      <c r="DP230" s="76">
        <f t="shared" si="78"/>
        <v>0.22580645161290322</v>
      </c>
      <c r="DQ230" s="76">
        <f t="shared" si="79"/>
        <v>0.24484670983847234</v>
      </c>
    </row>
    <row r="231" spans="1:121">
      <c r="A231" s="25">
        <f t="shared" si="72"/>
        <v>10</v>
      </c>
      <c r="B231" s="26">
        <f t="shared" si="77"/>
        <v>90909.090909090897</v>
      </c>
      <c r="C231" s="85">
        <f t="shared" si="64"/>
        <v>90908.993124114117</v>
      </c>
      <c r="D231" s="27">
        <f t="shared" si="65"/>
        <v>-1.0756347445858412E-6</v>
      </c>
      <c r="E231" s="27">
        <f t="shared" si="66"/>
        <v>1.0756347445858412E-6</v>
      </c>
      <c r="G231" s="97">
        <f t="shared" si="67"/>
        <v>79.999999999985775</v>
      </c>
      <c r="H231" s="157">
        <f t="shared" si="73"/>
        <v>1</v>
      </c>
      <c r="I231" s="157">
        <f t="shared" si="68"/>
        <v>1</v>
      </c>
      <c r="J231" s="158">
        <f t="shared" si="69"/>
        <v>51.7</v>
      </c>
      <c r="K231" s="164">
        <f t="shared" si="70"/>
        <v>7.399999999998613</v>
      </c>
      <c r="M231" s="18">
        <f t="shared" si="74"/>
        <v>550</v>
      </c>
      <c r="N231" s="18">
        <v>1180</v>
      </c>
      <c r="O231" s="18">
        <v>586.07375116091612</v>
      </c>
      <c r="P231" s="18">
        <f t="shared" si="71"/>
        <v>670</v>
      </c>
      <c r="X231" s="17"/>
      <c r="Y231" s="17">
        <f t="shared" si="75"/>
        <v>63</v>
      </c>
      <c r="Z231" s="17">
        <v>60</v>
      </c>
      <c r="AA231" s="17">
        <v>60.378888033491322</v>
      </c>
      <c r="AB231" s="17">
        <f t="shared" si="76"/>
        <v>60.378888033491322</v>
      </c>
      <c r="AW231" s="17"/>
      <c r="AX231" s="17"/>
      <c r="AY231" s="17"/>
      <c r="AZ231" s="17"/>
      <c r="BT231" s="20"/>
      <c r="BU231" s="20"/>
      <c r="BV231" s="20"/>
      <c r="BW231" s="20"/>
      <c r="CH231" s="17"/>
      <c r="CI231" s="17"/>
      <c r="CJ231" s="17"/>
      <c r="CK231" s="17"/>
      <c r="CL231" s="17"/>
      <c r="DL231">
        <v>8</v>
      </c>
      <c r="DM231">
        <v>-2905.9033270497603</v>
      </c>
      <c r="DN231">
        <f t="shared" si="80"/>
        <v>-0.69050406942306464</v>
      </c>
      <c r="DO231" s="76">
        <f t="shared" si="81"/>
        <v>0.24493862585684681</v>
      </c>
      <c r="DP231" s="76">
        <f t="shared" si="78"/>
        <v>0.25806451612903225</v>
      </c>
      <c r="DQ231" s="76">
        <f t="shared" si="79"/>
        <v>0.25096285875261259</v>
      </c>
    </row>
    <row r="232" spans="1:121">
      <c r="A232" s="25">
        <f t="shared" si="72"/>
        <v>11</v>
      </c>
      <c r="B232" s="26">
        <f t="shared" si="77"/>
        <v>98214.28571428571</v>
      </c>
      <c r="C232" s="85">
        <f t="shared" si="64"/>
        <v>96113.587151685933</v>
      </c>
      <c r="D232" s="27">
        <f t="shared" si="65"/>
        <v>-2.1388930819197727E-2</v>
      </c>
      <c r="E232" s="27">
        <f t="shared" si="66"/>
        <v>2.1388930819197727E-2</v>
      </c>
      <c r="G232" s="97">
        <f t="shared" si="67"/>
        <v>79.999999999986187</v>
      </c>
      <c r="H232" s="157">
        <f t="shared" si="73"/>
        <v>2</v>
      </c>
      <c r="I232" s="157">
        <f t="shared" si="68"/>
        <v>1</v>
      </c>
      <c r="J232" s="158">
        <f t="shared" si="69"/>
        <v>55.489106282031344</v>
      </c>
      <c r="K232" s="164">
        <f t="shared" si="70"/>
        <v>10.803550153744604</v>
      </c>
      <c r="M232" s="18">
        <f t="shared" si="74"/>
        <v>930</v>
      </c>
      <c r="N232" s="18">
        <v>1200</v>
      </c>
      <c r="O232" s="173">
        <v>670</v>
      </c>
      <c r="P232" s="18">
        <f t="shared" si="71"/>
        <v>1494.6249624069073</v>
      </c>
      <c r="X232" s="17"/>
      <c r="Y232" s="17">
        <f t="shared" si="75"/>
        <v>51.7</v>
      </c>
      <c r="Z232" s="17">
        <v>62</v>
      </c>
      <c r="AA232" s="17">
        <v>60.378888033491322</v>
      </c>
      <c r="AB232" s="17">
        <f t="shared" si="76"/>
        <v>60.378888033491322</v>
      </c>
      <c r="AW232" s="17"/>
      <c r="AY232" s="17"/>
      <c r="AZ232" s="17"/>
      <c r="BT232" s="20"/>
      <c r="BU232" s="20"/>
      <c r="BV232" s="20"/>
      <c r="BW232" s="20"/>
      <c r="CH232" s="17"/>
      <c r="CI232" s="17"/>
      <c r="CJ232" s="17"/>
      <c r="CK232" s="17"/>
      <c r="CL232" s="17"/>
      <c r="DL232">
        <v>9</v>
      </c>
      <c r="DM232">
        <v>-2565.2682618576073</v>
      </c>
      <c r="DN232">
        <f t="shared" si="80"/>
        <v>-0.59231063557370334</v>
      </c>
      <c r="DO232" s="76">
        <f t="shared" si="81"/>
        <v>0.27682129762474095</v>
      </c>
      <c r="DP232" s="76">
        <f t="shared" si="78"/>
        <v>0.29032258064516131</v>
      </c>
      <c r="DQ232" s="76">
        <f t="shared" si="79"/>
        <v>0.27667329917912609</v>
      </c>
    </row>
    <row r="233" spans="1:121">
      <c r="A233" s="25">
        <f t="shared" si="72"/>
        <v>12</v>
      </c>
      <c r="B233" s="26">
        <f t="shared" si="77"/>
        <v>98305.08474576271</v>
      </c>
      <c r="C233" s="85">
        <f t="shared" si="64"/>
        <v>98319.53501504485</v>
      </c>
      <c r="D233" s="27">
        <f t="shared" si="65"/>
        <v>1.4699411855970663E-4</v>
      </c>
      <c r="E233" s="27">
        <f t="shared" si="66"/>
        <v>1.4699411855970663E-4</v>
      </c>
      <c r="G233" s="97">
        <f t="shared" si="67"/>
        <v>586.07375116091612</v>
      </c>
      <c r="H233" s="157">
        <f t="shared" si="73"/>
        <v>2</v>
      </c>
      <c r="I233" s="157">
        <f t="shared" si="68"/>
        <v>3.5810132480699184</v>
      </c>
      <c r="J233" s="158">
        <f t="shared" si="69"/>
        <v>60.378888033491322</v>
      </c>
      <c r="K233" s="164">
        <f t="shared" si="70"/>
        <v>10.803550153744604</v>
      </c>
      <c r="M233" s="18">
        <f t="shared" si="74"/>
        <v>1180</v>
      </c>
      <c r="N233" s="18">
        <v>1500</v>
      </c>
      <c r="O233" s="18">
        <v>1494.6249624069073</v>
      </c>
      <c r="P233" s="18">
        <f t="shared" si="71"/>
        <v>2863.7196741958428</v>
      </c>
      <c r="X233" s="17"/>
      <c r="Y233" s="17">
        <f t="shared" si="75"/>
        <v>56</v>
      </c>
      <c r="Z233" s="17">
        <v>63</v>
      </c>
      <c r="AA233" s="17">
        <v>60.378888033491322</v>
      </c>
      <c r="AB233" s="17">
        <f t="shared" si="76"/>
        <v>60.378888033496501</v>
      </c>
      <c r="AW233" s="17"/>
      <c r="AX233" s="17"/>
      <c r="AY233" s="17"/>
      <c r="AZ233" s="17"/>
      <c r="BT233" s="20"/>
      <c r="BU233" s="20"/>
      <c r="BV233" s="20"/>
      <c r="BW233" s="20"/>
      <c r="CH233" s="17"/>
      <c r="CI233" s="17"/>
      <c r="CJ233" s="17"/>
      <c r="CK233" s="17"/>
      <c r="CL233" s="17"/>
      <c r="DL233">
        <v>10</v>
      </c>
      <c r="DM233">
        <v>-2427.9607221042534</v>
      </c>
      <c r="DN233">
        <f t="shared" si="80"/>
        <v>-0.49952732917944725</v>
      </c>
      <c r="DO233" s="76">
        <f t="shared" si="81"/>
        <v>0.30870396939263511</v>
      </c>
      <c r="DP233" s="76">
        <f t="shared" si="78"/>
        <v>0.32258064516129031</v>
      </c>
      <c r="DQ233" s="76">
        <f t="shared" si="79"/>
        <v>0.28739012829651844</v>
      </c>
    </row>
    <row r="234" spans="1:121">
      <c r="A234" s="25">
        <f t="shared" si="72"/>
        <v>13</v>
      </c>
      <c r="B234" s="26">
        <f t="shared" si="77"/>
        <v>88652.482269503555</v>
      </c>
      <c r="C234" s="85">
        <f t="shared" si="64"/>
        <v>88932.457307473291</v>
      </c>
      <c r="D234" s="34">
        <f t="shared" si="65"/>
        <v>3.1581184282986233E-3</v>
      </c>
      <c r="E234" s="34">
        <f t="shared" si="66"/>
        <v>3.1581184282986233E-3</v>
      </c>
      <c r="G234" s="97">
        <f t="shared" si="67"/>
        <v>79.999999999985775</v>
      </c>
      <c r="H234" s="157">
        <f t="shared" si="73"/>
        <v>2</v>
      </c>
      <c r="I234" s="157">
        <f t="shared" si="68"/>
        <v>1</v>
      </c>
      <c r="J234" s="158">
        <f t="shared" si="69"/>
        <v>60.141258271217978</v>
      </c>
      <c r="K234" s="164">
        <f t="shared" si="70"/>
        <v>10.803550153744604</v>
      </c>
      <c r="M234" s="18">
        <f t="shared" si="74"/>
        <v>380</v>
      </c>
      <c r="N234" s="18">
        <v>1700</v>
      </c>
      <c r="O234" s="18">
        <v>2863.7196741958428</v>
      </c>
      <c r="S234" s="18"/>
      <c r="X234" s="17"/>
      <c r="Y234" s="17">
        <f t="shared" si="75"/>
        <v>59</v>
      </c>
      <c r="Z234" s="17">
        <v>65</v>
      </c>
      <c r="AA234" s="17">
        <v>60.378888033496501</v>
      </c>
      <c r="AB234" s="17"/>
      <c r="AW234" s="17"/>
      <c r="AZ234" s="17"/>
      <c r="BD234" s="17"/>
      <c r="BT234" s="20"/>
      <c r="BU234" s="20"/>
      <c r="BV234" s="20"/>
      <c r="BW234" s="20"/>
      <c r="CH234" s="17"/>
      <c r="CI234" s="17"/>
      <c r="CJ234" s="17"/>
      <c r="CK234" s="17"/>
      <c r="CL234" s="17"/>
      <c r="DL234">
        <v>13</v>
      </c>
      <c r="DM234">
        <v>-1538.6509456007916</v>
      </c>
      <c r="DN234">
        <f t="shared" si="80"/>
        <v>-0.2420983336051879</v>
      </c>
      <c r="DO234" s="76">
        <f t="shared" si="81"/>
        <v>0.40435198469631756</v>
      </c>
      <c r="DP234" s="76">
        <f t="shared" si="78"/>
        <v>0.41935483870967744</v>
      </c>
      <c r="DQ234" s="76">
        <f t="shared" si="79"/>
        <v>0.36109485133134772</v>
      </c>
    </row>
    <row r="235" spans="1:121">
      <c r="A235" s="25">
        <f t="shared" si="72"/>
        <v>14</v>
      </c>
      <c r="B235" s="33">
        <f t="shared" si="77"/>
        <v>81333.333333333328</v>
      </c>
      <c r="C235" s="108">
        <f t="shared" si="64"/>
        <v>81613.356757427304</v>
      </c>
      <c r="D235" s="34">
        <f t="shared" si="65"/>
        <v>3.4429109519751068E-3</v>
      </c>
      <c r="E235" s="34">
        <f t="shared" si="66"/>
        <v>3.4429109519751068E-3</v>
      </c>
      <c r="G235" s="102">
        <f t="shared" si="67"/>
        <v>80</v>
      </c>
      <c r="H235" s="159">
        <f t="shared" si="73"/>
        <v>1</v>
      </c>
      <c r="I235" s="159">
        <f t="shared" si="68"/>
        <v>1</v>
      </c>
      <c r="J235" s="160">
        <f t="shared" si="69"/>
        <v>60.378888033491322</v>
      </c>
      <c r="K235" s="165">
        <f t="shared" si="70"/>
        <v>10.803550153744604</v>
      </c>
      <c r="M235" s="18">
        <f t="shared" si="74"/>
        <v>80</v>
      </c>
      <c r="O235" s="3"/>
      <c r="P235" s="18"/>
      <c r="Q235" s="18"/>
      <c r="R235" s="18"/>
      <c r="S235" s="18"/>
      <c r="Y235" s="17">
        <f t="shared" si="75"/>
        <v>56.4</v>
      </c>
      <c r="AA235" s="17"/>
      <c r="AB235" s="17"/>
      <c r="BD235" s="17"/>
      <c r="BT235" s="20"/>
      <c r="BU235" s="20"/>
      <c r="BV235" s="20"/>
      <c r="BW235" s="20"/>
      <c r="CH235" s="17"/>
      <c r="CI235" s="17"/>
      <c r="CJ235" s="17"/>
      <c r="CK235" s="17"/>
      <c r="CL235" s="17"/>
      <c r="DL235">
        <v>14</v>
      </c>
      <c r="DM235">
        <v>-1389.0168832228665</v>
      </c>
      <c r="DN235">
        <f t="shared" si="80"/>
        <v>-0.16052273623282101</v>
      </c>
      <c r="DO235" s="76">
        <f t="shared" si="81"/>
        <v>0.43623465646421172</v>
      </c>
      <c r="DP235" s="76">
        <f t="shared" si="78"/>
        <v>0.45161290322580644</v>
      </c>
      <c r="DQ235" s="76">
        <f t="shared" si="79"/>
        <v>0.37412106848325755</v>
      </c>
    </row>
    <row r="236" spans="1:121">
      <c r="A236" s="84"/>
      <c r="D236" s="78" t="s">
        <v>56</v>
      </c>
      <c r="E236" s="110">
        <f>AVERAGE(E222:E235)</f>
        <v>4.6129237960404962E-3</v>
      </c>
      <c r="M236" s="22"/>
      <c r="N236" s="3"/>
      <c r="O236" s="3"/>
      <c r="P236" s="18"/>
      <c r="R236" s="18"/>
      <c r="S236" s="18"/>
      <c r="Y236" s="17">
        <f t="shared" si="75"/>
        <v>60</v>
      </c>
      <c r="AU236" s="17"/>
      <c r="AV236" s="17"/>
      <c r="BD236" s="17"/>
      <c r="BR236" s="20"/>
      <c r="BS236" s="20"/>
      <c r="BT236" s="20"/>
      <c r="BU236" s="20"/>
      <c r="CF236" s="17"/>
      <c r="CG236" s="17"/>
      <c r="CH236" s="17"/>
      <c r="CI236" s="17"/>
      <c r="CJ236" s="17"/>
      <c r="DJ236">
        <v>15</v>
      </c>
      <c r="DK236">
        <v>-1373.9175670646218</v>
      </c>
      <c r="DL236">
        <f t="shared" ref="DL236:DL240" si="82">NORMSINV((DJ236-0.3175)/(31+0.365))</f>
        <v>-8.0003268442618569E-2</v>
      </c>
      <c r="DM236" s="76">
        <f t="shared" ref="DM236:DM240" si="83">(DJ236-0.3175)/(31+0.365)</f>
        <v>0.46811732823210583</v>
      </c>
      <c r="DN236" s="76">
        <f t="shared" ref="DN236:DN240" si="84">DJ236/31</f>
        <v>0.4838709677419355</v>
      </c>
      <c r="DO236" s="76">
        <f>NORMDIST(DK236,0,$DM$191,1)</f>
        <v>0.37544382907994667</v>
      </c>
    </row>
    <row r="237" spans="1:121">
      <c r="A237" s="25"/>
      <c r="B237" s="95" t="s">
        <v>89</v>
      </c>
      <c r="D237" s="79" t="s">
        <v>57</v>
      </c>
      <c r="E237" s="37">
        <f>MAX(E222:E235)</f>
        <v>2.1388930819197727E-2</v>
      </c>
      <c r="M237" s="179"/>
      <c r="N237" s="180"/>
      <c r="O237" s="180" t="s">
        <v>132</v>
      </c>
      <c r="P237" s="181"/>
      <c r="Q237" s="84"/>
      <c r="R237" s="18"/>
      <c r="S237" s="18"/>
      <c r="AQ237" s="80"/>
      <c r="AU237" s="17"/>
      <c r="AV237" s="17"/>
      <c r="BR237" s="20"/>
      <c r="BT237" s="19"/>
      <c r="BU237" s="20"/>
      <c r="CF237" s="17"/>
      <c r="CG237" s="17"/>
      <c r="CH237" s="17"/>
      <c r="CI237" s="17"/>
      <c r="CJ237" s="17"/>
      <c r="DJ237">
        <v>16</v>
      </c>
      <c r="DK237">
        <v>-973.62832894305757</v>
      </c>
      <c r="DL237">
        <f t="shared" si="82"/>
        <v>0</v>
      </c>
      <c r="DM237" s="76">
        <f t="shared" si="83"/>
        <v>0.5</v>
      </c>
      <c r="DN237" s="76">
        <f t="shared" si="84"/>
        <v>0.5161290322580645</v>
      </c>
      <c r="DO237" s="76">
        <f>NORMDIST(DK237,0,$DM$191,1)</f>
        <v>0.41099940793974843</v>
      </c>
    </row>
    <row r="238" spans="1:121">
      <c r="B238" s="96">
        <f>TREND($B$222:$B$235,$G$222:$K$235,G238:K238,1)</f>
        <v>98828.843410788337</v>
      </c>
      <c r="G238" s="102">
        <f>TREND(O229:O230,N229:N230,E45,1)</f>
        <v>172.72727272726621</v>
      </c>
      <c r="H238" s="159">
        <f>F45</f>
        <v>2</v>
      </c>
      <c r="I238" s="174">
        <f>O247</f>
        <v>3.5810132480699184</v>
      </c>
      <c r="J238" s="160">
        <f>TREND(AA229:AA230,Z229:Z230,H45,1)</f>
        <v>60.355221623443924</v>
      </c>
      <c r="K238" s="165">
        <f>TREND(AA249:AA250,Z249:Z250,J45,1)</f>
        <v>9.7824851076208041</v>
      </c>
      <c r="M238" s="22"/>
      <c r="N238" s="3"/>
      <c r="O238" s="3"/>
      <c r="P238" s="18"/>
      <c r="Q238" s="18"/>
      <c r="R238" s="18"/>
      <c r="S238" s="18"/>
      <c r="AK238" s="17"/>
      <c r="AU238" s="17"/>
      <c r="AV238" s="17"/>
      <c r="BR238" s="20"/>
      <c r="BT238" s="19"/>
      <c r="BU238" s="20"/>
      <c r="CF238" s="17"/>
      <c r="CG238" s="17"/>
      <c r="CH238" s="17"/>
      <c r="CI238" s="17"/>
      <c r="CJ238" s="17"/>
      <c r="DJ238">
        <v>17</v>
      </c>
      <c r="DK238">
        <v>-120.19568723639532</v>
      </c>
      <c r="DL238">
        <f t="shared" si="82"/>
        <v>8.0003268442618569E-2</v>
      </c>
      <c r="DM238" s="76">
        <f t="shared" si="83"/>
        <v>0.53188267176789417</v>
      </c>
      <c r="DN238" s="76">
        <f t="shared" si="84"/>
        <v>0.54838709677419351</v>
      </c>
      <c r="DO238" s="76">
        <f>NORMDIST(DK238,0,$DM$191,1)</f>
        <v>0.4889214238212109</v>
      </c>
    </row>
    <row r="239" spans="1:121">
      <c r="B239" s="109"/>
      <c r="M239" s="22"/>
      <c r="N239" s="3"/>
      <c r="O239" s="3"/>
      <c r="P239" s="18"/>
      <c r="Q239" s="18"/>
      <c r="R239" s="18"/>
      <c r="S239" s="18"/>
      <c r="AT239" s="17"/>
      <c r="AU239" s="17"/>
      <c r="AV239" s="17"/>
      <c r="AW239" s="17"/>
      <c r="AX239" s="17"/>
      <c r="AY239" s="17"/>
      <c r="BR239" s="20"/>
      <c r="BT239" s="19"/>
      <c r="BU239" s="20"/>
      <c r="CF239" s="17"/>
      <c r="CG239" s="17"/>
      <c r="CH239" s="17"/>
      <c r="CI239" s="17"/>
      <c r="CJ239" s="17"/>
      <c r="DJ239">
        <v>18</v>
      </c>
      <c r="DK239">
        <v>-116.93351465983142</v>
      </c>
      <c r="DL239">
        <f t="shared" si="82"/>
        <v>0.16052273623282115</v>
      </c>
      <c r="DM239" s="76">
        <f t="shared" si="83"/>
        <v>0.56376534353578833</v>
      </c>
      <c r="DN239" s="76">
        <f t="shared" si="84"/>
        <v>0.58064516129032262</v>
      </c>
      <c r="DO239" s="76">
        <f>NORMDIST(DK239,0,$DM$191,1)</f>
        <v>0.48922202787402719</v>
      </c>
    </row>
    <row r="240" spans="1:121">
      <c r="M240" s="22"/>
      <c r="N240" s="3"/>
      <c r="O240" s="3"/>
      <c r="P240" s="18"/>
      <c r="R240" s="18"/>
      <c r="S240" s="18"/>
      <c r="AS240" s="17"/>
      <c r="AT240" s="17"/>
      <c r="AU240" s="17"/>
      <c r="AV240" s="17"/>
      <c r="AW240" s="17"/>
      <c r="AX240" s="17"/>
      <c r="AY240" s="17"/>
      <c r="BR240" s="20"/>
      <c r="BT240" s="19"/>
      <c r="BU240" s="20"/>
      <c r="CF240" s="17"/>
      <c r="CG240" s="17"/>
      <c r="CH240" s="17"/>
      <c r="CI240" s="17"/>
      <c r="CJ240" s="17"/>
      <c r="DJ240">
        <v>19</v>
      </c>
      <c r="DK240">
        <v>804.65476484580722</v>
      </c>
      <c r="DL240">
        <f t="shared" si="82"/>
        <v>0.24209833360518801</v>
      </c>
      <c r="DM240" s="76">
        <f t="shared" si="83"/>
        <v>0.5956480153036825</v>
      </c>
      <c r="DN240" s="76">
        <f t="shared" si="84"/>
        <v>0.61290322580645162</v>
      </c>
      <c r="DO240" s="76">
        <f>NORMDIST(DK240,0,$DM$191,1)</f>
        <v>0.57375033090338134</v>
      </c>
    </row>
    <row r="241" spans="1:134">
      <c r="N241" s="3"/>
      <c r="O241" s="3"/>
      <c r="Q241" s="18"/>
      <c r="S241" s="18"/>
      <c r="AS241" s="17"/>
      <c r="AX241" s="17"/>
      <c r="AY241" s="17"/>
      <c r="BT241" s="20"/>
      <c r="BV241" s="19"/>
      <c r="BW241" s="20"/>
      <c r="BY241" s="17"/>
      <c r="BZ241" s="17"/>
      <c r="CA241" s="17"/>
      <c r="CB241" s="17"/>
      <c r="CH241" s="17"/>
      <c r="CI241" s="17"/>
      <c r="CK241" s="17"/>
      <c r="CL241" s="17"/>
      <c r="CM241" s="77"/>
      <c r="DL241">
        <v>26</v>
      </c>
      <c r="DM241">
        <v>3123.4159014630422</v>
      </c>
      <c r="DN241">
        <f t="shared" ref="DN241:DN245" si="85">NORMSINV((DL241-0.3175)/(31+0.365))</f>
        <v>0.91090284858106596</v>
      </c>
      <c r="DO241" s="76">
        <f t="shared" ref="DO241:DO245" si="86">(DL241-0.3175)/(31+0.365)</f>
        <v>0.81882671767894155</v>
      </c>
      <c r="DP241" s="76">
        <f t="shared" ref="DP241:DP246" si="87">DL241/31</f>
        <v>0.83870967741935487</v>
      </c>
      <c r="DQ241" s="76">
        <f t="shared" ref="DQ241:DQ246" si="88">NORMDIST(DM241,0,$DM$191,1)</f>
        <v>0.76476765148794723</v>
      </c>
    </row>
    <row r="242" spans="1:134">
      <c r="A242" s="25"/>
      <c r="B242" s="111"/>
      <c r="C242" s="24" t="s">
        <v>91</v>
      </c>
      <c r="E242" s="38"/>
      <c r="G242" s="24"/>
      <c r="H242" s="39" t="s">
        <v>58</v>
      </c>
      <c r="I242" s="24"/>
      <c r="J242" s="24"/>
      <c r="L242" s="20"/>
      <c r="M242" s="148" t="s">
        <v>5</v>
      </c>
      <c r="N242" s="148"/>
      <c r="O242" s="148"/>
      <c r="Q242" s="18"/>
      <c r="S242" s="18"/>
      <c r="Y242" s="184" t="s">
        <v>8</v>
      </c>
      <c r="Z242" s="184"/>
      <c r="AA242" s="184"/>
      <c r="AS242" s="17"/>
      <c r="AX242" s="17"/>
      <c r="AY242" s="17"/>
      <c r="BT242" s="20"/>
      <c r="BV242" s="19"/>
      <c r="BW242" s="20"/>
      <c r="BY242" s="17"/>
      <c r="BZ242" s="17"/>
      <c r="CA242" s="17"/>
      <c r="CB242" s="17"/>
      <c r="CH242" s="17"/>
      <c r="CI242" s="17"/>
      <c r="CK242" s="17"/>
      <c r="CL242" s="17"/>
      <c r="CM242" s="77"/>
      <c r="DL242">
        <v>27</v>
      </c>
      <c r="DM242">
        <v>3791.5663030867436</v>
      </c>
      <c r="DN242">
        <f t="shared" si="85"/>
        <v>1.0394807180178769</v>
      </c>
      <c r="DO242" s="76">
        <f t="shared" si="86"/>
        <v>0.85070938944683572</v>
      </c>
      <c r="DP242" s="76">
        <f t="shared" si="87"/>
        <v>0.87096774193548387</v>
      </c>
      <c r="DQ242" s="76">
        <f t="shared" si="88"/>
        <v>0.80951534503328948</v>
      </c>
    </row>
    <row r="243" spans="1:134">
      <c r="C243" s="61"/>
      <c r="E243" s="24"/>
      <c r="F243" s="24"/>
      <c r="G243" s="24"/>
      <c r="I243" s="35"/>
      <c r="J243" s="3"/>
      <c r="M243" s="182" t="s">
        <v>77</v>
      </c>
      <c r="N243" s="182" t="s">
        <v>86</v>
      </c>
      <c r="O243" s="182" t="s">
        <v>78</v>
      </c>
      <c r="Q243" s="18"/>
      <c r="S243" s="18"/>
      <c r="Y243" s="182" t="s">
        <v>77</v>
      </c>
      <c r="Z243" s="182" t="s">
        <v>86</v>
      </c>
      <c r="AA243" s="182" t="s">
        <v>78</v>
      </c>
      <c r="AS243" s="17"/>
      <c r="AX243" s="17"/>
      <c r="AY243" s="17"/>
      <c r="BT243" s="20"/>
      <c r="BV243" s="19"/>
      <c r="BW243" s="20"/>
      <c r="BY243" s="17"/>
      <c r="BZ243" s="17"/>
      <c r="CA243" s="17"/>
      <c r="CB243" s="17"/>
      <c r="CH243" s="17"/>
      <c r="CI243" s="17"/>
      <c r="CK243" s="17"/>
      <c r="CL243" s="17"/>
      <c r="CM243" s="77"/>
      <c r="DL243">
        <v>28</v>
      </c>
      <c r="DM243">
        <v>4139.091141148936</v>
      </c>
      <c r="DN243">
        <f t="shared" si="85"/>
        <v>1.188044501583434</v>
      </c>
      <c r="DO243" s="76">
        <f t="shared" si="86"/>
        <v>0.88259206121472988</v>
      </c>
      <c r="DP243" s="76">
        <f t="shared" si="87"/>
        <v>0.90322580645161288</v>
      </c>
      <c r="DQ243" s="76">
        <f t="shared" si="88"/>
        <v>0.83056838314051817</v>
      </c>
    </row>
    <row r="244" spans="1:134">
      <c r="B244" s="23"/>
      <c r="C244" s="32"/>
      <c r="D244" s="40" t="s">
        <v>8</v>
      </c>
      <c r="E244" s="40" t="s">
        <v>6</v>
      </c>
      <c r="F244" s="40" t="s">
        <v>5</v>
      </c>
      <c r="G244" s="40" t="s">
        <v>2</v>
      </c>
      <c r="H244" s="40" t="s">
        <v>54</v>
      </c>
      <c r="J244" s="29"/>
      <c r="K244" s="32"/>
      <c r="M244" s="183"/>
      <c r="N244" s="183"/>
      <c r="O244" s="183"/>
      <c r="Q244" s="18"/>
      <c r="S244" s="18"/>
      <c r="Y244" s="182"/>
      <c r="Z244" s="182"/>
      <c r="AA244" s="182"/>
      <c r="AS244" s="17"/>
      <c r="AX244" s="17"/>
      <c r="AY244" s="17"/>
      <c r="BT244" s="20"/>
      <c r="BV244" s="19"/>
      <c r="BW244" s="20"/>
      <c r="BY244" s="17"/>
      <c r="BZ244" s="17"/>
      <c r="CA244" s="17"/>
      <c r="CB244" s="17"/>
      <c r="CH244" s="17"/>
      <c r="CI244" s="17"/>
      <c r="CK244" s="17"/>
      <c r="CL244" s="17"/>
      <c r="CM244" s="77"/>
      <c r="DL244">
        <v>29</v>
      </c>
      <c r="DM244">
        <v>5763.0334429157083</v>
      </c>
      <c r="DN244">
        <f t="shared" si="85"/>
        <v>1.3688360349541264</v>
      </c>
      <c r="DO244" s="76">
        <f t="shared" si="86"/>
        <v>0.91447473298262405</v>
      </c>
      <c r="DP244" s="76">
        <f t="shared" si="87"/>
        <v>0.93548387096774188</v>
      </c>
      <c r="DQ244" s="76">
        <f t="shared" si="88"/>
        <v>0.90851333140324841</v>
      </c>
      <c r="EC244" s="105"/>
      <c r="ED244" s="105"/>
    </row>
    <row r="245" spans="1:134">
      <c r="B245" s="41"/>
      <c r="C245" s="32"/>
      <c r="D245" s="41" t="s">
        <v>60</v>
      </c>
      <c r="E245" s="41" t="s">
        <v>61</v>
      </c>
      <c r="F245" s="41" t="s">
        <v>62</v>
      </c>
      <c r="G245" s="41" t="s">
        <v>63</v>
      </c>
      <c r="H245" s="41" t="s">
        <v>64</v>
      </c>
      <c r="I245" s="156" t="s">
        <v>65</v>
      </c>
      <c r="K245" s="32"/>
      <c r="M245">
        <f t="shared" ref="M245:M258" si="89">G29</f>
        <v>1</v>
      </c>
      <c r="N245">
        <v>1</v>
      </c>
      <c r="O245">
        <v>1</v>
      </c>
      <c r="P245" s="20">
        <f>O246</f>
        <v>2.2537536924287291</v>
      </c>
      <c r="S245" s="18"/>
      <c r="Y245" s="17">
        <f t="shared" ref="Y245:Y258" si="90">J29</f>
        <v>11.5</v>
      </c>
      <c r="Z245" s="17">
        <v>7.4</v>
      </c>
      <c r="AA245" s="17">
        <v>7.4</v>
      </c>
      <c r="AB245" s="17">
        <f t="shared" ref="AB245:AB252" si="91">AA246</f>
        <v>7.399999999998613</v>
      </c>
      <c r="AS245" s="17"/>
      <c r="AX245" s="17"/>
      <c r="AY245" s="17"/>
      <c r="BT245" s="20"/>
      <c r="BV245" s="19"/>
      <c r="BW245" s="20"/>
      <c r="BY245" s="17"/>
      <c r="BZ245" s="17"/>
      <c r="CA245" s="17"/>
      <c r="CB245" s="17"/>
      <c r="CH245" s="17"/>
      <c r="CI245" s="17"/>
      <c r="CK245" s="17"/>
      <c r="CL245" s="17"/>
      <c r="CM245" s="77"/>
      <c r="DL245">
        <v>30</v>
      </c>
      <c r="DM245">
        <v>6999.5308323502395</v>
      </c>
      <c r="DN245">
        <f t="shared" si="85"/>
        <v>1.6105162973596794</v>
      </c>
      <c r="DO245" s="76">
        <f t="shared" si="86"/>
        <v>0.94635740475051822</v>
      </c>
      <c r="DP245" s="76">
        <f t="shared" si="87"/>
        <v>0.967741935483871</v>
      </c>
      <c r="DQ245" s="76">
        <f t="shared" si="88"/>
        <v>0.94710093212871649</v>
      </c>
      <c r="EC245" s="17"/>
      <c r="ED245" s="18"/>
    </row>
    <row r="246" spans="1:134">
      <c r="C246" s="32"/>
      <c r="D246" s="71">
        <f t="array" ref="D246:I250">LINEST(B222:B235,G222:K235,1,1)</f>
        <v>1204.9836017656462</v>
      </c>
      <c r="E246" s="49">
        <v>-1543.6146241361705</v>
      </c>
      <c r="F246" s="49">
        <v>4586.9973765059676</v>
      </c>
      <c r="G246" s="49">
        <v>6952.2917738707874</v>
      </c>
      <c r="H246" s="49">
        <v>-4.1203767417173776</v>
      </c>
      <c r="I246" s="49">
        <v>150587.33152785059</v>
      </c>
      <c r="J246" s="167"/>
      <c r="K246" s="32"/>
      <c r="M246">
        <f t="shared" si="89"/>
        <v>3</v>
      </c>
      <c r="N246">
        <v>2</v>
      </c>
      <c r="O246" s="20">
        <v>2.2537536924287291</v>
      </c>
      <c r="P246" s="20">
        <f>O247</f>
        <v>3.5810132480699184</v>
      </c>
      <c r="S246" s="18"/>
      <c r="Y246" s="17">
        <f t="shared" si="90"/>
        <v>9</v>
      </c>
      <c r="Z246" s="17">
        <v>7.8</v>
      </c>
      <c r="AA246" s="17">
        <v>7.399999999998613</v>
      </c>
      <c r="AB246" s="17">
        <f t="shared" si="91"/>
        <v>7.399999999998613</v>
      </c>
      <c r="AS246" s="17"/>
      <c r="AX246" s="17"/>
      <c r="AY246" s="17"/>
      <c r="BT246" s="20"/>
      <c r="BV246" s="19"/>
      <c r="BW246" s="20"/>
      <c r="BY246" s="17"/>
      <c r="BZ246" s="17"/>
      <c r="CA246" s="17"/>
      <c r="CB246" s="17"/>
      <c r="CH246" s="17"/>
      <c r="CI246" s="17"/>
      <c r="CK246" s="17"/>
      <c r="CL246" s="17"/>
      <c r="CM246" s="77"/>
      <c r="DL246">
        <v>31</v>
      </c>
      <c r="DM246">
        <v>11378.603930692829</v>
      </c>
      <c r="DN246">
        <f>NORMSINV(0.5^(1/31))</f>
        <v>2.0119716331356474</v>
      </c>
      <c r="DO246" s="76">
        <f>0.5^(1/31)</f>
        <v>0.97788853633543271</v>
      </c>
      <c r="DP246" s="76">
        <f t="shared" si="87"/>
        <v>1</v>
      </c>
      <c r="DQ246" s="76">
        <f t="shared" si="88"/>
        <v>0.99572117071619781</v>
      </c>
      <c r="EC246" s="17"/>
      <c r="ED246" s="18"/>
    </row>
    <row r="247" spans="1:134">
      <c r="C247" s="32"/>
      <c r="D247" s="44">
        <v>160.03241901893307</v>
      </c>
      <c r="E247" s="45">
        <v>111.72003865350243</v>
      </c>
      <c r="F247" s="45">
        <v>307.28711473138605</v>
      </c>
      <c r="G247" s="45">
        <v>601.93433381998864</v>
      </c>
      <c r="H247" s="45">
        <v>0.3920908921476311</v>
      </c>
      <c r="I247" s="45">
        <v>6006.3866188821394</v>
      </c>
      <c r="J247" s="167"/>
      <c r="K247" s="32"/>
      <c r="M247">
        <f t="shared" si="89"/>
        <v>1</v>
      </c>
      <c r="N247">
        <v>3</v>
      </c>
      <c r="O247" s="20">
        <v>3.5810132480699184</v>
      </c>
      <c r="P247" s="20">
        <f>O248</f>
        <v>3.5810132480702883</v>
      </c>
      <c r="S247" s="18"/>
      <c r="Y247" s="17">
        <f t="shared" si="90"/>
        <v>10.7</v>
      </c>
      <c r="Z247" s="17">
        <v>7.9</v>
      </c>
      <c r="AA247" s="17">
        <v>7.399999999998613</v>
      </c>
      <c r="AB247" s="17">
        <f t="shared" si="91"/>
        <v>7.399999999998613</v>
      </c>
      <c r="AS247" s="17"/>
      <c r="AX247" s="17"/>
      <c r="AY247" s="17"/>
      <c r="BI247" s="17"/>
      <c r="BJ247" s="17"/>
      <c r="BK247" s="20"/>
      <c r="BT247" s="20"/>
      <c r="BV247" s="19"/>
      <c r="BW247" s="20"/>
      <c r="BY247" s="17"/>
      <c r="BZ247" s="17"/>
      <c r="CA247" s="17"/>
      <c r="CB247" s="17"/>
      <c r="CH247" s="17"/>
      <c r="CI247" s="17"/>
      <c r="CK247" s="17"/>
      <c r="CL247" s="17"/>
      <c r="CM247" s="77"/>
      <c r="EC247" s="17"/>
      <c r="ED247" s="18"/>
    </row>
    <row r="248" spans="1:134">
      <c r="C248" s="56" t="s">
        <v>66</v>
      </c>
      <c r="D248" s="46">
        <v>0.9910000655827953</v>
      </c>
      <c r="E248" s="45">
        <v>936.33129462932061</v>
      </c>
      <c r="F248" s="47" t="e">
        <v>#N/A</v>
      </c>
      <c r="G248" s="48" t="e">
        <v>#N/A</v>
      </c>
      <c r="H248" s="48" t="e">
        <v>#N/A</v>
      </c>
      <c r="I248" s="48" t="e">
        <v>#N/A</v>
      </c>
      <c r="J248" s="167"/>
      <c r="K248" s="32"/>
      <c r="M248">
        <f t="shared" si="89"/>
        <v>2</v>
      </c>
      <c r="N248">
        <v>4</v>
      </c>
      <c r="O248" s="20">
        <v>3.5810132480702883</v>
      </c>
      <c r="P248" s="17"/>
      <c r="S248" s="18"/>
      <c r="Y248" s="17">
        <f t="shared" si="90"/>
        <v>12.7</v>
      </c>
      <c r="Z248" s="17">
        <v>8</v>
      </c>
      <c r="AA248" s="17">
        <v>7.399999999998613</v>
      </c>
      <c r="AB248" s="17">
        <f t="shared" si="91"/>
        <v>7.399999999998613</v>
      </c>
      <c r="AX248" s="17"/>
      <c r="AY248" s="17"/>
      <c r="BI248" s="17"/>
      <c r="BJ248" s="17"/>
      <c r="BK248" s="20"/>
      <c r="BT248" s="20"/>
      <c r="BV248" s="19"/>
      <c r="BY248" s="17"/>
      <c r="BZ248" s="17"/>
      <c r="CA248" s="17"/>
      <c r="CB248" s="17"/>
      <c r="CH248" s="17"/>
      <c r="CI248" s="17"/>
      <c r="CK248" s="17"/>
      <c r="CL248" s="17"/>
      <c r="CM248" s="77"/>
      <c r="DM248">
        <f>STDEV(DM224:DM246)</f>
        <v>4327.7201752640249</v>
      </c>
      <c r="EC248" s="17"/>
      <c r="ED248" s="18"/>
    </row>
    <row r="249" spans="1:134">
      <c r="C249" s="32"/>
      <c r="D249" s="50">
        <v>176.17907324984279</v>
      </c>
      <c r="E249" s="51">
        <v>8</v>
      </c>
      <c r="F249" s="52" t="e">
        <v>#N/A</v>
      </c>
      <c r="G249" s="51" t="e">
        <v>#N/A</v>
      </c>
      <c r="H249" s="51" t="e">
        <v>#N/A</v>
      </c>
      <c r="I249" s="51" t="e">
        <v>#N/A</v>
      </c>
      <c r="J249" s="167"/>
      <c r="K249" s="32"/>
      <c r="M249">
        <f t="shared" si="89"/>
        <v>4</v>
      </c>
      <c r="O249" s="17"/>
      <c r="P249" s="17"/>
      <c r="S249" s="18"/>
      <c r="Y249" s="17">
        <f t="shared" si="90"/>
        <v>9</v>
      </c>
      <c r="Z249" s="17">
        <v>9</v>
      </c>
      <c r="AA249" s="17">
        <v>7.399999999998613</v>
      </c>
      <c r="AB249" s="17">
        <f t="shared" si="91"/>
        <v>10.803550153744604</v>
      </c>
      <c r="AX249" s="17"/>
      <c r="AY249" s="17"/>
      <c r="BI249" s="17"/>
      <c r="BJ249" s="17"/>
      <c r="BK249" s="20"/>
      <c r="BS249" s="17"/>
      <c r="BT249" s="17"/>
      <c r="BU249" s="17"/>
      <c r="BY249" s="17"/>
      <c r="BZ249" s="17"/>
      <c r="CA249" s="17"/>
      <c r="CB249" s="17"/>
      <c r="CH249" s="17"/>
      <c r="CI249" s="17"/>
      <c r="CK249" s="17"/>
      <c r="CL249" s="17"/>
      <c r="CM249" s="77"/>
      <c r="EC249" s="17"/>
      <c r="ED249" s="18"/>
    </row>
    <row r="250" spans="1:134" ht="15" customHeight="1">
      <c r="C250" s="32"/>
      <c r="D250" s="53">
        <v>772295320.28511202</v>
      </c>
      <c r="E250" s="54">
        <v>7013730.3464177568</v>
      </c>
      <c r="F250" s="53" t="e">
        <v>#N/A</v>
      </c>
      <c r="G250" s="55" t="e">
        <v>#N/A</v>
      </c>
      <c r="H250" s="55" t="e">
        <v>#N/A</v>
      </c>
      <c r="I250" s="55" t="e">
        <v>#N/A</v>
      </c>
      <c r="J250" s="167"/>
      <c r="K250" s="32"/>
      <c r="L250" s="142"/>
      <c r="M250">
        <f t="shared" si="89"/>
        <v>1</v>
      </c>
      <c r="P250" s="17"/>
      <c r="Q250" s="142"/>
      <c r="R250" s="142"/>
      <c r="S250" s="142"/>
      <c r="T250" s="142"/>
      <c r="U250" s="142"/>
      <c r="V250" s="142"/>
      <c r="W250" s="142"/>
      <c r="X250" s="142"/>
      <c r="Y250" s="17">
        <f t="shared" si="90"/>
        <v>7.4</v>
      </c>
      <c r="Z250" s="17">
        <v>10</v>
      </c>
      <c r="AA250" s="17">
        <v>10.803550153744604</v>
      </c>
      <c r="AB250" s="17">
        <f t="shared" si="91"/>
        <v>10.803550153744604</v>
      </c>
      <c r="AC250" s="142"/>
      <c r="AX250" s="17"/>
      <c r="AY250" s="17"/>
      <c r="BI250" s="17"/>
      <c r="BJ250" s="17"/>
      <c r="BK250" s="20"/>
      <c r="BS250" s="17"/>
      <c r="BT250" s="17"/>
      <c r="BU250" s="17"/>
      <c r="BY250" s="17"/>
      <c r="BZ250" s="17"/>
      <c r="CA250" s="17"/>
      <c r="CB250" s="17"/>
      <c r="CH250" s="17"/>
      <c r="CI250" s="17"/>
      <c r="CK250" s="17"/>
      <c r="CL250" s="17"/>
      <c r="CM250" s="77"/>
      <c r="EC250" s="17"/>
      <c r="ED250" s="18"/>
    </row>
    <row r="251" spans="1:134">
      <c r="C251" s="32"/>
      <c r="K251" s="32"/>
      <c r="M251">
        <f t="shared" si="89"/>
        <v>1</v>
      </c>
      <c r="Y251" s="17">
        <f t="shared" si="90"/>
        <v>7.8</v>
      </c>
      <c r="Z251" s="17">
        <v>10.1</v>
      </c>
      <c r="AA251" s="17">
        <v>10.803550153744604</v>
      </c>
      <c r="AB251" s="17">
        <f t="shared" si="91"/>
        <v>10.803550153744604</v>
      </c>
      <c r="AX251" s="17"/>
      <c r="AY251" s="17"/>
      <c r="BI251" s="17"/>
      <c r="BJ251" s="17"/>
      <c r="BK251" s="20"/>
      <c r="BS251" s="17"/>
      <c r="BT251" s="17"/>
      <c r="BU251" s="17"/>
      <c r="BY251" s="17"/>
      <c r="BZ251" s="17"/>
      <c r="CA251" s="17"/>
      <c r="CB251" s="17"/>
      <c r="CH251" s="17"/>
      <c r="CI251" s="17"/>
      <c r="CK251" s="17"/>
      <c r="CL251" s="17"/>
      <c r="CM251" s="77"/>
      <c r="EC251" s="17"/>
      <c r="ED251" s="18"/>
    </row>
    <row r="252" spans="1:134" ht="15" customHeight="1">
      <c r="C252" s="56" t="s">
        <v>68</v>
      </c>
      <c r="D252" s="58">
        <f>ABS(D246/D247)</f>
        <v>7.5296218675735158</v>
      </c>
      <c r="E252" s="58">
        <f>ABS(E246/E247)</f>
        <v>13.816810688041935</v>
      </c>
      <c r="F252" s="58">
        <f>ABS(F246/F247)</f>
        <v>14.927399023924824</v>
      </c>
      <c r="G252" s="58">
        <f>ABS(G246/G247)</f>
        <v>11.549917297041747</v>
      </c>
      <c r="H252" s="58">
        <f>ABS(H246/H247)</f>
        <v>10.508728522482389</v>
      </c>
      <c r="I252" s="58"/>
      <c r="J252" s="58"/>
      <c r="K252" s="32"/>
      <c r="M252">
        <f t="shared" si="89"/>
        <v>1</v>
      </c>
      <c r="Y252" s="17">
        <f t="shared" si="90"/>
        <v>8</v>
      </c>
      <c r="Z252" s="17">
        <v>10.5</v>
      </c>
      <c r="AA252" s="17">
        <v>10.803550153744604</v>
      </c>
      <c r="AB252" s="17">
        <f t="shared" si="91"/>
        <v>10.803550153744604</v>
      </c>
      <c r="AX252" s="17"/>
      <c r="AY252" s="17"/>
      <c r="BI252" s="17"/>
      <c r="BJ252" s="17"/>
      <c r="BK252" s="20"/>
      <c r="BS252" s="17"/>
      <c r="BT252" s="17"/>
      <c r="BU252" s="17"/>
      <c r="BV252" s="20"/>
      <c r="BY252" s="17"/>
      <c r="BZ252" s="17"/>
      <c r="CA252" s="17"/>
      <c r="CB252" s="17"/>
      <c r="CK252" s="17"/>
      <c r="CL252" s="17"/>
      <c r="CM252" s="77"/>
      <c r="EC252" s="17"/>
      <c r="ED252" s="18"/>
    </row>
    <row r="253" spans="1:134">
      <c r="C253" s="56" t="s">
        <v>70</v>
      </c>
      <c r="D253" s="166">
        <f>TDIST(D252,$E$89,1)</f>
        <v>3.3682130570114318E-5</v>
      </c>
      <c r="E253" s="166">
        <f>TDIST(E252,$E$89,1)</f>
        <v>3.6368135481631056E-7</v>
      </c>
      <c r="F253" s="166">
        <f>TDIST(F252,$E$89,1)</f>
        <v>2.0005573952877674E-7</v>
      </c>
      <c r="G253" s="166">
        <f>TDIST(G252,$E$89,1)</f>
        <v>1.4336926169557247E-6</v>
      </c>
      <c r="H253" s="166">
        <f>TDIST(H252,$E$89,1)</f>
        <v>2.9266909976774918E-6</v>
      </c>
      <c r="I253" s="58"/>
      <c r="J253" s="58"/>
      <c r="K253" s="32"/>
      <c r="M253">
        <f t="shared" si="89"/>
        <v>2</v>
      </c>
      <c r="Y253" s="17">
        <f t="shared" si="90"/>
        <v>13</v>
      </c>
      <c r="Z253" s="17">
        <v>10.7</v>
      </c>
      <c r="AA253" s="17">
        <v>10.803550153744604</v>
      </c>
      <c r="AB253" s="17">
        <f>AA254</f>
        <v>10.803550153742743</v>
      </c>
      <c r="AX253" s="17"/>
      <c r="AY253" s="17"/>
      <c r="BI253" s="17"/>
      <c r="BJ253" s="17"/>
      <c r="BK253" s="20"/>
      <c r="BS253" s="17"/>
      <c r="BT253" s="17"/>
      <c r="BU253" s="17"/>
      <c r="BV253" s="20"/>
      <c r="BY253" s="17"/>
      <c r="BZ253" s="17"/>
      <c r="CA253" s="17"/>
      <c r="CB253" s="17"/>
      <c r="CK253" s="17"/>
      <c r="CL253" s="17"/>
      <c r="CM253" s="77"/>
      <c r="EC253" s="17"/>
      <c r="ED253" s="18"/>
    </row>
    <row r="254" spans="1:134">
      <c r="B254" s="57" t="s">
        <v>125</v>
      </c>
      <c r="C254" s="56" t="s">
        <v>71</v>
      </c>
      <c r="D254" s="121">
        <f>1-D253</f>
        <v>0.99996631786942991</v>
      </c>
      <c r="E254" s="121">
        <f>1-E253</f>
        <v>0.99999963631864519</v>
      </c>
      <c r="F254" s="121">
        <f>1-F253</f>
        <v>0.99999979994426047</v>
      </c>
      <c r="G254" s="118">
        <f>1-G253</f>
        <v>0.99999856630738304</v>
      </c>
      <c r="H254" s="121">
        <f>1-H253</f>
        <v>0.99999707330900234</v>
      </c>
      <c r="I254" s="116"/>
      <c r="J254" s="59"/>
      <c r="K254" s="32"/>
      <c r="M254">
        <f t="shared" si="89"/>
        <v>1</v>
      </c>
      <c r="Y254" s="17">
        <f t="shared" si="90"/>
        <v>7.9</v>
      </c>
      <c r="Z254" s="17">
        <v>11.5</v>
      </c>
      <c r="AA254" s="17">
        <v>10.803550153742743</v>
      </c>
      <c r="AB254" s="17">
        <f>AA255</f>
        <v>14.5</v>
      </c>
      <c r="AX254" s="17"/>
      <c r="AY254" s="17"/>
      <c r="BJ254" s="17"/>
      <c r="BK254" s="20"/>
      <c r="BS254" s="17"/>
      <c r="BT254" s="17"/>
      <c r="BU254" s="17"/>
      <c r="BV254" s="20"/>
      <c r="BY254" s="17"/>
      <c r="BZ254" s="17"/>
      <c r="CA254" s="17"/>
      <c r="CB254" s="17"/>
      <c r="CK254" s="17"/>
      <c r="CL254" s="17"/>
      <c r="CM254" s="77"/>
      <c r="EC254" s="17"/>
      <c r="ED254" s="18"/>
    </row>
    <row r="255" spans="1:134">
      <c r="B255" s="57" t="s">
        <v>69</v>
      </c>
      <c r="C255" s="56" t="s">
        <v>72</v>
      </c>
      <c r="D255" s="23" t="s">
        <v>74</v>
      </c>
      <c r="E255" s="23" t="s">
        <v>74</v>
      </c>
      <c r="F255" s="23" t="s">
        <v>74</v>
      </c>
      <c r="G255" s="23" t="s">
        <v>74</v>
      </c>
      <c r="H255" s="23" t="s">
        <v>74</v>
      </c>
      <c r="I255" s="23"/>
      <c r="J255" s="23"/>
      <c r="K255" s="32"/>
      <c r="M255">
        <f t="shared" si="89"/>
        <v>1</v>
      </c>
      <c r="Y255" s="17">
        <f t="shared" si="90"/>
        <v>10</v>
      </c>
      <c r="Z255" s="17">
        <v>12.7</v>
      </c>
      <c r="AA255" s="175">
        <v>14.5</v>
      </c>
      <c r="AB255" s="17">
        <f>AA256</f>
        <v>14.500657910079383</v>
      </c>
      <c r="AX255" s="17"/>
      <c r="AY255" s="17"/>
      <c r="BI255" s="17"/>
      <c r="BJ255" s="17"/>
      <c r="BK255" s="20"/>
      <c r="BV255" s="20"/>
      <c r="BY255" s="17"/>
      <c r="BZ255" s="17"/>
      <c r="CA255" s="17"/>
      <c r="CB255" s="17"/>
      <c r="CK255" s="17"/>
      <c r="CL255" s="17"/>
      <c r="CM255" s="77"/>
      <c r="EC255" s="17"/>
      <c r="ED255" s="18"/>
    </row>
    <row r="256" spans="1:134">
      <c r="C256" s="60" t="s">
        <v>75</v>
      </c>
      <c r="D256" s="61"/>
      <c r="E256" s="62">
        <f>E250/(E249+1)</f>
        <v>779303.37182419514</v>
      </c>
      <c r="F256" s="35"/>
      <c r="G256" s="35"/>
      <c r="H256" s="35"/>
      <c r="I256" s="35"/>
      <c r="J256" s="35"/>
      <c r="K256" s="32"/>
      <c r="M256">
        <f t="shared" si="89"/>
        <v>3</v>
      </c>
      <c r="Y256" s="17">
        <f t="shared" si="90"/>
        <v>10.5</v>
      </c>
      <c r="Z256" s="17">
        <v>13</v>
      </c>
      <c r="AA256" s="17">
        <v>14.500657910079383</v>
      </c>
      <c r="AB256" s="17"/>
      <c r="BI256" s="17"/>
      <c r="BJ256" s="17"/>
      <c r="BK256" s="20"/>
      <c r="BV256" s="20"/>
      <c r="BY256" s="17"/>
      <c r="BZ256" s="17"/>
      <c r="CA256" s="17"/>
      <c r="CB256" s="17"/>
      <c r="CK256" s="17"/>
      <c r="CL256" s="17"/>
      <c r="CM256" s="77"/>
      <c r="EC256" s="17"/>
      <c r="ED256" s="18"/>
    </row>
    <row r="257" spans="2:134">
      <c r="M257">
        <f t="shared" si="89"/>
        <v>1</v>
      </c>
      <c r="Q257" s="80" t="s">
        <v>141</v>
      </c>
      <c r="R257" s="80"/>
      <c r="S257" s="80"/>
      <c r="T257" s="80"/>
      <c r="U257" s="80"/>
      <c r="Y257" s="17">
        <f t="shared" si="90"/>
        <v>10.1</v>
      </c>
      <c r="Z257" s="17"/>
      <c r="AA257" s="17"/>
      <c r="AB257" s="17"/>
      <c r="AE257" s="80" t="s">
        <v>138</v>
      </c>
      <c r="AF257" s="80"/>
      <c r="AG257" s="175"/>
      <c r="AH257" s="80"/>
      <c r="BI257" s="17"/>
      <c r="BJ257" s="17"/>
      <c r="BV257" s="20"/>
      <c r="BY257" s="17"/>
      <c r="BZ257" s="17"/>
      <c r="CA257" s="17"/>
      <c r="CB257" s="17"/>
      <c r="CK257" s="17"/>
      <c r="CL257" s="17"/>
      <c r="CM257" s="77"/>
      <c r="EC257" s="17"/>
      <c r="ED257" s="18"/>
    </row>
    <row r="258" spans="2:134">
      <c r="M258">
        <f t="shared" si="89"/>
        <v>1</v>
      </c>
      <c r="Q258" s="80" t="s">
        <v>140</v>
      </c>
      <c r="Y258" s="17">
        <f t="shared" si="90"/>
        <v>10.5</v>
      </c>
      <c r="Z258" s="17"/>
      <c r="AA258" s="17"/>
      <c r="AB258" s="17"/>
      <c r="AE258" s="80" t="s">
        <v>133</v>
      </c>
      <c r="AF258" s="80"/>
      <c r="AG258" s="175"/>
      <c r="AH258" s="80"/>
      <c r="BI258" s="17"/>
      <c r="BJ258" s="17"/>
      <c r="BV258" s="20"/>
      <c r="BY258" s="17"/>
      <c r="BZ258" s="17"/>
      <c r="CA258" s="17"/>
      <c r="CB258" s="17"/>
      <c r="CK258" s="17"/>
      <c r="CL258" s="17"/>
      <c r="CM258" s="77"/>
      <c r="EC258" s="17"/>
      <c r="ED258" s="18"/>
    </row>
    <row r="259" spans="2:134">
      <c r="C259" s="143" t="s">
        <v>135</v>
      </c>
      <c r="D259" s="144"/>
      <c r="E259" s="144"/>
      <c r="F259" s="144"/>
      <c r="G259" s="171"/>
      <c r="H259" s="171"/>
      <c r="I259" s="171"/>
      <c r="J259" s="171"/>
      <c r="K259" s="171"/>
      <c r="L259" s="171"/>
      <c r="AE259" s="80" t="s">
        <v>149</v>
      </c>
      <c r="AF259" s="80"/>
      <c r="AG259" s="80"/>
      <c r="BI259" s="17"/>
      <c r="BJ259" s="17"/>
      <c r="BV259" s="20"/>
      <c r="BY259" s="17"/>
      <c r="BZ259" s="17"/>
      <c r="CA259" s="17"/>
      <c r="CB259" s="17"/>
      <c r="CK259" s="17"/>
      <c r="CL259" s="17"/>
      <c r="CM259" s="77"/>
      <c r="EC259" s="17"/>
      <c r="ED259" s="18"/>
    </row>
    <row r="260" spans="2:134">
      <c r="C260" s="172" t="s">
        <v>144</v>
      </c>
      <c r="D260" s="172"/>
      <c r="E260" s="172"/>
      <c r="F260" s="172"/>
      <c r="G260" s="172"/>
      <c r="H260" s="172"/>
      <c r="I260" s="172"/>
      <c r="J260" s="172"/>
      <c r="K260" s="171"/>
      <c r="L260" s="171"/>
      <c r="BI260" s="17"/>
      <c r="BJ260" s="17"/>
      <c r="BV260" s="20"/>
      <c r="BY260" s="17"/>
      <c r="BZ260" s="17"/>
      <c r="CA260" s="17"/>
      <c r="CB260" s="17"/>
      <c r="CK260" s="17"/>
      <c r="CL260" s="20"/>
      <c r="EC260" s="17"/>
      <c r="ED260" s="18"/>
    </row>
    <row r="261" spans="2:134">
      <c r="C261" s="143" t="s">
        <v>136</v>
      </c>
      <c r="D261" s="144"/>
      <c r="E261" s="144"/>
      <c r="F261" s="144"/>
      <c r="G261" s="144"/>
      <c r="H261" s="144"/>
      <c r="I261" s="144"/>
      <c r="J261" s="144"/>
      <c r="K261" s="144"/>
      <c r="L261" s="144"/>
      <c r="AG261" s="17"/>
      <c r="BI261" s="17"/>
      <c r="BJ261" s="17"/>
      <c r="BV261" s="20"/>
      <c r="BY261" s="17"/>
      <c r="BZ261" s="17"/>
      <c r="CA261" s="17"/>
      <c r="CB261" s="17"/>
      <c r="CK261" s="17"/>
      <c r="CL261" s="20"/>
      <c r="EC261" s="17"/>
      <c r="ED261" s="18"/>
    </row>
    <row r="262" spans="2:134">
      <c r="C262" s="143" t="s">
        <v>137</v>
      </c>
      <c r="D262" s="144"/>
      <c r="E262" s="144"/>
      <c r="F262" s="144"/>
      <c r="G262" s="144"/>
      <c r="H262" s="144"/>
      <c r="I262" s="144"/>
      <c r="J262" s="144"/>
      <c r="K262" s="144"/>
      <c r="L262" s="144"/>
      <c r="AG262" s="17"/>
      <c r="BI262" s="17"/>
      <c r="BK262" s="17"/>
      <c r="BV262" s="20"/>
      <c r="BY262" s="17"/>
      <c r="BZ262" s="17"/>
      <c r="CA262" s="17"/>
      <c r="CB262" s="17"/>
      <c r="CK262" s="17"/>
      <c r="CL262" s="20"/>
      <c r="EC262" s="17"/>
      <c r="ED262" s="18"/>
    </row>
    <row r="263" spans="2:134">
      <c r="AG263" s="17"/>
      <c r="BI263" s="17"/>
      <c r="BJ263" s="17"/>
      <c r="BK263" s="20"/>
      <c r="BV263" s="20"/>
      <c r="BY263" s="17"/>
      <c r="BZ263" s="17"/>
      <c r="CA263" s="17"/>
      <c r="CB263" s="17"/>
      <c r="CK263" s="17"/>
      <c r="CL263" s="20"/>
      <c r="EC263" s="17"/>
      <c r="ED263" s="18"/>
    </row>
    <row r="264" spans="2:134">
      <c r="C264" s="176" t="s">
        <v>142</v>
      </c>
      <c r="D264" s="80"/>
      <c r="E264" s="80"/>
      <c r="F264" s="80"/>
      <c r="G264" s="80"/>
      <c r="H264" s="80"/>
      <c r="AG264" s="17"/>
      <c r="BI264" s="17"/>
      <c r="BJ264" s="17"/>
      <c r="BK264" s="20"/>
      <c r="BV264" s="20"/>
      <c r="BY264" s="17"/>
      <c r="BZ264" s="17"/>
      <c r="CA264" s="17"/>
      <c r="CB264" s="17"/>
      <c r="CK264" s="17"/>
      <c r="CL264" s="20"/>
      <c r="EC264" s="17"/>
      <c r="ED264" s="18"/>
    </row>
    <row r="265" spans="2:134">
      <c r="AG265" s="17"/>
      <c r="BI265" s="17"/>
      <c r="BJ265" s="17"/>
      <c r="BK265" s="20"/>
      <c r="BV265" s="20"/>
      <c r="BY265" s="17"/>
      <c r="BZ265" s="17"/>
      <c r="CA265" s="17"/>
      <c r="CB265" s="17"/>
      <c r="CK265" s="17"/>
      <c r="CL265" s="20"/>
      <c r="EC265" s="17"/>
      <c r="ED265" s="18"/>
    </row>
    <row r="266" spans="2:134">
      <c r="AG266" s="17"/>
      <c r="BI266" s="17"/>
      <c r="BJ266" s="17"/>
      <c r="BK266" s="20"/>
      <c r="BV266" s="20"/>
      <c r="BY266" s="17"/>
      <c r="BZ266" s="17"/>
      <c r="CA266" s="17"/>
      <c r="CB266" s="17"/>
      <c r="CK266" s="17"/>
      <c r="CL266" s="20"/>
      <c r="EC266" s="17"/>
      <c r="ED266" s="18"/>
    </row>
    <row r="267" spans="2:134">
      <c r="B267" s="72" t="s">
        <v>93</v>
      </c>
      <c r="C267" s="73" t="s">
        <v>80</v>
      </c>
      <c r="AG267" s="17"/>
      <c r="BI267" s="17"/>
      <c r="BJ267" s="17"/>
      <c r="BK267" s="20"/>
      <c r="BV267" s="20"/>
      <c r="BY267" s="17"/>
      <c r="BZ267" s="17"/>
      <c r="CA267" s="17"/>
      <c r="CB267" s="17"/>
      <c r="CK267" s="17"/>
      <c r="CL267" s="20"/>
      <c r="EC267" s="17"/>
      <c r="ED267" s="18"/>
    </row>
    <row r="268" spans="2:134">
      <c r="B268" s="74">
        <f>C222</f>
        <v>76151.377740217969</v>
      </c>
      <c r="C268" s="74">
        <f>C222-B222</f>
        <v>289.30877470072301</v>
      </c>
      <c r="AG268" s="17"/>
      <c r="BI268" s="17"/>
      <c r="BJ268" s="17"/>
      <c r="BK268" s="20"/>
      <c r="BV268" s="20"/>
      <c r="BY268" s="17"/>
      <c r="BZ268" s="17"/>
      <c r="CA268" s="17"/>
      <c r="CB268" s="17"/>
      <c r="CK268" s="17"/>
      <c r="CL268" s="20"/>
      <c r="EC268" s="17"/>
      <c r="ED268" s="18"/>
    </row>
    <row r="269" spans="2:134">
      <c r="B269" s="74">
        <f t="shared" ref="B269:B281" si="92">C223</f>
        <v>90474.739612508492</v>
      </c>
      <c r="C269" s="74">
        <f t="shared" ref="C269:C281" si="93">C223-B223</f>
        <v>-294.49115672227344</v>
      </c>
      <c r="AG269" s="17"/>
      <c r="BI269" s="17"/>
      <c r="BJ269" s="17"/>
      <c r="BK269" s="20"/>
      <c r="BV269" s="20"/>
      <c r="BY269" s="17"/>
      <c r="BZ269" s="17"/>
      <c r="CA269" s="17"/>
      <c r="CB269" s="17"/>
      <c r="CK269" s="17"/>
      <c r="CL269" s="20"/>
      <c r="EC269" s="17"/>
      <c r="ED269" s="18"/>
    </row>
    <row r="270" spans="2:134">
      <c r="B270" s="74">
        <f t="shared" si="92"/>
        <v>96113.587151711981</v>
      </c>
      <c r="C270" s="74">
        <f t="shared" si="93"/>
        <v>1236.9268101560156</v>
      </c>
      <c r="S270" s="18"/>
      <c r="AK270" s="17"/>
      <c r="AL270" s="17"/>
      <c r="AM270" s="17"/>
      <c r="AN270" s="17"/>
      <c r="AS270" s="17"/>
      <c r="BI270" s="17"/>
      <c r="BJ270" s="17"/>
      <c r="BK270" s="20"/>
      <c r="BV270" s="20"/>
      <c r="BY270" s="17"/>
      <c r="BZ270" s="17"/>
      <c r="CA270" s="17"/>
      <c r="CB270" s="17"/>
      <c r="CK270" s="17"/>
      <c r="CL270" s="20"/>
      <c r="EC270" s="17"/>
      <c r="ED270" s="18"/>
    </row>
    <row r="271" spans="2:134">
      <c r="B271" s="74">
        <f t="shared" si="92"/>
        <v>87903.226325924363</v>
      </c>
      <c r="C271" s="74">
        <f t="shared" si="93"/>
        <v>5.1947275642305613E-4</v>
      </c>
      <c r="S271" s="18"/>
      <c r="AK271" s="17"/>
      <c r="AM271" s="19"/>
      <c r="AN271" s="19"/>
      <c r="AS271" s="17"/>
      <c r="BI271" s="17"/>
      <c r="BK271" s="17"/>
      <c r="BV271" s="20"/>
      <c r="BW271" s="17"/>
      <c r="CK271" s="17"/>
      <c r="CL271" s="20"/>
      <c r="EC271" s="17"/>
      <c r="ED271" s="18"/>
    </row>
    <row r="272" spans="2:134">
      <c r="B272" s="74">
        <f t="shared" si="92"/>
        <v>103851.46602626063</v>
      </c>
      <c r="C272" s="74">
        <f t="shared" si="93"/>
        <v>280.03745483206876</v>
      </c>
      <c r="AK272" s="17"/>
      <c r="AM272" s="19"/>
      <c r="AR272" s="17"/>
      <c r="AS272" s="17"/>
      <c r="BI272" s="17"/>
      <c r="BK272" s="17"/>
      <c r="BV272" s="20"/>
      <c r="BW272" s="17"/>
      <c r="CL272" s="20"/>
      <c r="EC272" s="17"/>
      <c r="ED272" s="18"/>
    </row>
    <row r="273" spans="2:134">
      <c r="B273" s="74">
        <f t="shared" si="92"/>
        <v>77878.943410525317</v>
      </c>
      <c r="C273" s="74">
        <f t="shared" si="93"/>
        <v>-569.33245154365432</v>
      </c>
      <c r="AK273" s="19"/>
      <c r="BV273" s="20"/>
      <c r="BW273" s="17"/>
      <c r="BX273" s="17"/>
      <c r="BY273" s="17"/>
      <c r="BZ273" s="17"/>
      <c r="EC273" s="17"/>
      <c r="ED273" s="18"/>
    </row>
    <row r="274" spans="2:134">
      <c r="B274" s="74">
        <f t="shared" si="92"/>
        <v>92012.365028661108</v>
      </c>
      <c r="C274" s="74">
        <f t="shared" si="93"/>
        <v>583.79360008967342</v>
      </c>
      <c r="BV274" s="20"/>
      <c r="EC274" s="17"/>
      <c r="ED274" s="18"/>
    </row>
    <row r="275" spans="2:134">
      <c r="B275" s="74">
        <f t="shared" si="92"/>
        <v>86538.559056714526</v>
      </c>
      <c r="C275" s="74">
        <f t="shared" si="93"/>
        <v>9.7518252994632348E-2</v>
      </c>
      <c r="F275" s="73"/>
      <c r="G275" s="73"/>
      <c r="BV275" s="20"/>
      <c r="EC275" s="17"/>
      <c r="ED275" s="18"/>
    </row>
    <row r="276" spans="2:134">
      <c r="B276" s="74">
        <f t="shared" si="92"/>
        <v>87301.593848579694</v>
      </c>
      <c r="C276" s="74">
        <f t="shared" si="93"/>
        <v>6.5469923865748569E-3</v>
      </c>
      <c r="G276" s="75"/>
      <c r="BV276" s="20"/>
      <c r="EC276" s="17"/>
      <c r="ED276" s="18"/>
    </row>
    <row r="277" spans="2:134">
      <c r="B277" s="74">
        <f t="shared" si="92"/>
        <v>90908.993124114117</v>
      </c>
      <c r="C277" s="74">
        <f t="shared" si="93"/>
        <v>-9.7784976780530997E-2</v>
      </c>
      <c r="G277" s="75"/>
      <c r="BV277" s="20"/>
    </row>
    <row r="278" spans="2:134">
      <c r="B278" s="74">
        <f t="shared" si="92"/>
        <v>96113.587151685933</v>
      </c>
      <c r="C278" s="74">
        <f t="shared" si="93"/>
        <v>-2100.6985625997768</v>
      </c>
      <c r="G278" s="75"/>
      <c r="BV278" s="20"/>
    </row>
    <row r="279" spans="2:134">
      <c r="B279" s="74">
        <f t="shared" si="92"/>
        <v>98319.53501504485</v>
      </c>
      <c r="C279" s="74">
        <f t="shared" si="93"/>
        <v>14.450269282140653</v>
      </c>
      <c r="G279" s="75"/>
      <c r="BV279" s="20"/>
    </row>
    <row r="280" spans="2:134">
      <c r="B280" s="74">
        <f t="shared" si="92"/>
        <v>88932.457307473291</v>
      </c>
      <c r="C280" s="74">
        <f t="shared" si="93"/>
        <v>279.97503796973615</v>
      </c>
      <c r="G280" s="75"/>
      <c r="BV280" s="20"/>
    </row>
    <row r="281" spans="2:134">
      <c r="B281" s="74">
        <f t="shared" si="92"/>
        <v>81613.356757427304</v>
      </c>
      <c r="C281" s="74">
        <f t="shared" si="93"/>
        <v>280.02342409397534</v>
      </c>
      <c r="G281" s="75"/>
      <c r="BV281" s="20"/>
    </row>
    <row r="282" spans="2:134">
      <c r="G282" s="75"/>
      <c r="BV282" s="20"/>
    </row>
    <row r="283" spans="2:134">
      <c r="G283" s="75"/>
    </row>
    <row r="284" spans="2:134">
      <c r="G284" s="75"/>
    </row>
    <row r="285" spans="2:134">
      <c r="G285" s="75"/>
    </row>
    <row r="286" spans="2:134">
      <c r="G286" s="75"/>
    </row>
    <row r="287" spans="2:134">
      <c r="G287" s="75"/>
    </row>
    <row r="288" spans="2:134">
      <c r="G288" s="75"/>
    </row>
    <row r="289" spans="7:7">
      <c r="G289" s="75"/>
    </row>
    <row r="290" spans="7:7">
      <c r="G290" s="75"/>
    </row>
    <row r="291" spans="7:7">
      <c r="G291" s="75"/>
    </row>
    <row r="292" spans="7:7">
      <c r="G292" s="75"/>
    </row>
    <row r="2064" spans="6:6">
      <c r="F2064">
        <v>0</v>
      </c>
    </row>
  </sheetData>
  <sortState xmlns:xlrd2="http://schemas.microsoft.com/office/spreadsheetml/2017/richdata2" ref="AL168:AL181">
    <sortCondition ref="AL168"/>
  </sortState>
  <mergeCells count="99">
    <mergeCell ref="AM197:AM198"/>
    <mergeCell ref="Y163:Y165"/>
    <mergeCell ref="Z163:Z165"/>
    <mergeCell ref="AA163:AA165"/>
    <mergeCell ref="Y194:AA194"/>
    <mergeCell ref="AK194:AM194"/>
    <mergeCell ref="Y195:Y196"/>
    <mergeCell ref="Z195:Z196"/>
    <mergeCell ref="AA195:AA196"/>
    <mergeCell ref="M163:M164"/>
    <mergeCell ref="N163:N164"/>
    <mergeCell ref="O163:O164"/>
    <mergeCell ref="AK197:AK198"/>
    <mergeCell ref="AL197:AL198"/>
    <mergeCell ref="AT157:BH157"/>
    <mergeCell ref="CH166:CJ166"/>
    <mergeCell ref="CH167:CH168"/>
    <mergeCell ref="CI167:CI168"/>
    <mergeCell ref="CJ167:CJ168"/>
    <mergeCell ref="M162:O162"/>
    <mergeCell ref="Y162:AA162"/>
    <mergeCell ref="AD129:AF129"/>
    <mergeCell ref="AQ129:AS129"/>
    <mergeCell ref="AD130:AD131"/>
    <mergeCell ref="AE130:AE131"/>
    <mergeCell ref="AF130:AF131"/>
    <mergeCell ref="AQ132:AQ133"/>
    <mergeCell ref="AR132:AR133"/>
    <mergeCell ref="AS132:AS133"/>
    <mergeCell ref="AD152:AF152"/>
    <mergeCell ref="A157:O157"/>
    <mergeCell ref="P157:AD157"/>
    <mergeCell ref="AE157:AS157"/>
    <mergeCell ref="DR110:DR111"/>
    <mergeCell ref="DS110:DS111"/>
    <mergeCell ref="DT110:DT111"/>
    <mergeCell ref="P110:P111"/>
    <mergeCell ref="Q110:Q111"/>
    <mergeCell ref="R110:R111"/>
    <mergeCell ref="AD110:AD111"/>
    <mergeCell ref="AE110:AE111"/>
    <mergeCell ref="AF110:AF111"/>
    <mergeCell ref="S110:S111"/>
    <mergeCell ref="DR109:DT109"/>
    <mergeCell ref="F27:F28"/>
    <mergeCell ref="G27:G28"/>
    <mergeCell ref="H27:H28"/>
    <mergeCell ref="I27:I28"/>
    <mergeCell ref="J27:J28"/>
    <mergeCell ref="A56:O56"/>
    <mergeCell ref="A102:O102"/>
    <mergeCell ref="P109:R109"/>
    <mergeCell ref="AD109:AF109"/>
    <mergeCell ref="AQ109:AS109"/>
    <mergeCell ref="B48:C48"/>
    <mergeCell ref="E48:F48"/>
    <mergeCell ref="J4:J5"/>
    <mergeCell ref="K4:K5"/>
    <mergeCell ref="L4:L5"/>
    <mergeCell ref="A27:A28"/>
    <mergeCell ref="B27:B28"/>
    <mergeCell ref="C27:C28"/>
    <mergeCell ref="D27:D28"/>
    <mergeCell ref="E27:E28"/>
    <mergeCell ref="AE214:AS214"/>
    <mergeCell ref="AT214:BH214"/>
    <mergeCell ref="M219:O219"/>
    <mergeCell ref="Y219:AA219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M220:M221"/>
    <mergeCell ref="N220:N221"/>
    <mergeCell ref="O220:O221"/>
    <mergeCell ref="A214:O214"/>
    <mergeCell ref="P214:AD214"/>
    <mergeCell ref="CH224:CH225"/>
    <mergeCell ref="CI224:CI225"/>
    <mergeCell ref="CJ224:CJ225"/>
    <mergeCell ref="Y220:Y222"/>
    <mergeCell ref="Z220:Z222"/>
    <mergeCell ref="AA220:AA222"/>
    <mergeCell ref="CH223:CJ223"/>
    <mergeCell ref="AA243:AA244"/>
    <mergeCell ref="M243:M244"/>
    <mergeCell ref="N243:N244"/>
    <mergeCell ref="O243:O244"/>
    <mergeCell ref="Y242:AA242"/>
    <mergeCell ref="Y243:Y244"/>
    <mergeCell ref="Z243:Z244"/>
  </mergeCells>
  <hyperlinks>
    <hyperlink ref="B13" r:id="rId1" display="Комендантский пр. 22" xr:uid="{00000000-0004-0000-0000-000000000000}"/>
    <hyperlink ref="B11" r:id="rId2" xr:uid="{00000000-0004-0000-0000-000001000000}"/>
    <hyperlink ref="B15" r:id="rId3" display="М. Новикова ул. 2/1" xr:uid="{00000000-0004-0000-0000-000002000000}"/>
    <hyperlink ref="B12" r:id="rId4" display="Комендантский пр. 21-2" xr:uid="{00000000-0004-0000-0000-000003000000}"/>
    <hyperlink ref="B8" r:id="rId5" tooltip="Показать на карте" xr:uid="{00000000-0004-0000-0000-000004000000}"/>
    <hyperlink ref="B18" r:id="rId6" xr:uid="{00000000-0004-0000-0000-000005000000}"/>
    <hyperlink ref="B14" r:id="rId7" xr:uid="{00000000-0004-0000-0000-000006000000}"/>
    <hyperlink ref="B9" r:id="rId8" xr:uid="{00000000-0004-0000-0000-000007000000}"/>
    <hyperlink ref="B17" r:id="rId9" display="Сизова пр. 21" xr:uid="{00000000-0004-0000-0000-000008000000}"/>
    <hyperlink ref="B10" r:id="rId10" xr:uid="{00000000-0004-0000-0000-000009000000}"/>
    <hyperlink ref="B45" r:id="rId11" xr:uid="{00000000-0004-0000-0000-00000A000000}"/>
    <hyperlink ref="B19" r:id="rId12" xr:uid="{00000000-0004-0000-0000-00000B000000}"/>
    <hyperlink ref="B42" r:id="rId13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ВПР и Поиск решения</vt:lpstr>
    </vt:vector>
  </TitlesOfParts>
  <Company>Avers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M.Abbasov</dc:creator>
  <cp:lastModifiedBy>Microsoft Office User</cp:lastModifiedBy>
  <dcterms:created xsi:type="dcterms:W3CDTF">2013-02-20T10:32:01Z</dcterms:created>
  <dcterms:modified xsi:type="dcterms:W3CDTF">2023-01-18T11:48:47Z</dcterms:modified>
</cp:coreProperties>
</file>